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国民健康保険課\06_広報・広聴・報道対応\03_ホームページ編集\R8（2026）年度\賦課\"/>
    </mc:Choice>
  </mc:AlternateContent>
  <xr:revisionPtr revIDLastSave="0" documentId="13_ncr:1_{85FF55C9-9646-45CD-8E0F-FE3BF61696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試算シート" sheetId="1" r:id="rId1"/>
    <sheet name="入力の説明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2" l="1"/>
  <c r="G7" i="2"/>
  <c r="E7" i="2"/>
  <c r="G6" i="2"/>
  <c r="E6" i="2"/>
  <c r="G5" i="2"/>
  <c r="E5" i="2"/>
  <c r="G4" i="2"/>
  <c r="E4" i="2"/>
  <c r="G3" i="2"/>
  <c r="E2" i="2"/>
  <c r="C33" i="1"/>
  <c r="G33" i="1" s="1"/>
  <c r="C34" i="1"/>
  <c r="G34" i="1" s="1"/>
  <c r="C35" i="1"/>
  <c r="C36" i="1"/>
  <c r="C32" i="1"/>
  <c r="G35" i="1"/>
  <c r="G36" i="1"/>
  <c r="E6" i="1" l="1"/>
  <c r="G5" i="1" l="1"/>
  <c r="G6" i="1"/>
  <c r="G7" i="1"/>
  <c r="D33" i="1"/>
  <c r="E33" i="1"/>
  <c r="D34" i="1"/>
  <c r="E34" i="1"/>
  <c r="D35" i="1"/>
  <c r="E35" i="1"/>
  <c r="D36" i="1"/>
  <c r="E36" i="1"/>
  <c r="E32" i="1"/>
  <c r="D32" i="1"/>
  <c r="B33" i="1"/>
  <c r="B34" i="1"/>
  <c r="B35" i="1"/>
  <c r="B36" i="1"/>
  <c r="B32" i="1"/>
  <c r="F33" i="1"/>
  <c r="F34" i="1"/>
  <c r="F35" i="1"/>
  <c r="F36" i="1"/>
  <c r="F32" i="1"/>
  <c r="A1" i="1"/>
  <c r="H32" i="1" l="1"/>
  <c r="H33" i="1"/>
  <c r="G4" i="1" s="1"/>
  <c r="H35" i="1"/>
  <c r="H34" i="1"/>
  <c r="H36" i="1"/>
  <c r="E2" i="1"/>
  <c r="L33" i="1" l="1"/>
  <c r="M33" i="1"/>
  <c r="N33" i="1"/>
  <c r="O33" i="1"/>
  <c r="P33" i="1"/>
  <c r="L34" i="1"/>
  <c r="M34" i="1"/>
  <c r="N34" i="1"/>
  <c r="O34" i="1"/>
  <c r="P34" i="1"/>
  <c r="J35" i="1"/>
  <c r="L35" i="1"/>
  <c r="M35" i="1"/>
  <c r="N35" i="1"/>
  <c r="O35" i="1"/>
  <c r="P35" i="1"/>
  <c r="J36" i="1"/>
  <c r="L36" i="1"/>
  <c r="M36" i="1"/>
  <c r="N36" i="1"/>
  <c r="O36" i="1"/>
  <c r="P36" i="1"/>
  <c r="P32" i="1"/>
  <c r="O32" i="1"/>
  <c r="N32" i="1"/>
  <c r="M32" i="1"/>
  <c r="G3" i="1" l="1"/>
  <c r="I35" i="1"/>
  <c r="K35" i="1" s="1"/>
  <c r="S33" i="1"/>
  <c r="I36" i="1"/>
  <c r="I33" i="1"/>
  <c r="E4" i="1" s="1"/>
  <c r="I34" i="1"/>
  <c r="K36" i="1" l="1"/>
  <c r="E7" i="1"/>
  <c r="K34" i="1"/>
  <c r="E5" i="1"/>
  <c r="K33" i="1"/>
  <c r="J34" i="1"/>
  <c r="J33" i="1"/>
  <c r="G32" i="1" l="1"/>
  <c r="L32" i="1"/>
  <c r="S34" i="1" s="1"/>
  <c r="I32" i="1" l="1"/>
  <c r="K32" i="1" s="1"/>
  <c r="E3" i="1" l="1"/>
  <c r="J32" i="1"/>
  <c r="S32" i="1"/>
  <c r="S35" i="1" s="1"/>
  <c r="C41" i="1" l="1"/>
  <c r="B42" i="1"/>
  <c r="D15" i="1" s="1"/>
  <c r="C44" i="1"/>
  <c r="B43" i="1"/>
  <c r="E15" i="1" s="1"/>
  <c r="B41" i="1"/>
  <c r="C15" i="1" s="1"/>
  <c r="C42" i="1"/>
  <c r="C43" i="1"/>
  <c r="B44" i="1"/>
  <c r="F15" i="1" s="1"/>
  <c r="E42" i="1"/>
  <c r="D13" i="1" s="1"/>
  <c r="D43" i="1"/>
  <c r="E12" i="1" s="1"/>
  <c r="D44" i="1"/>
  <c r="F12" i="1" s="1"/>
  <c r="D41" i="1"/>
  <c r="C12" i="1" s="1"/>
  <c r="E44" i="1"/>
  <c r="E43" i="1"/>
  <c r="D42" i="1"/>
  <c r="D12" i="1" s="1"/>
  <c r="E41" i="1"/>
  <c r="C13" i="1" s="1"/>
  <c r="C16" i="1" l="1"/>
  <c r="F44" i="1"/>
  <c r="F14" i="1" s="1"/>
  <c r="F11" i="1"/>
  <c r="F43" i="1"/>
  <c r="E14" i="1" s="1"/>
  <c r="E11" i="1"/>
  <c r="D11" i="1"/>
  <c r="F42" i="1"/>
  <c r="D14" i="1" s="1"/>
  <c r="C11" i="1"/>
  <c r="F41" i="1"/>
  <c r="C14" i="1" s="1"/>
</calcChain>
</file>

<file path=xl/sharedStrings.xml><?xml version="1.0" encoding="utf-8"?>
<sst xmlns="http://schemas.openxmlformats.org/spreadsheetml/2006/main" count="117" uniqueCount="79">
  <si>
    <t>限度額(円)</t>
    <phoneticPr fontId="1"/>
  </si>
  <si>
    <t>平等割(円)</t>
    <phoneticPr fontId="1"/>
  </si>
  <si>
    <t>均等割(円)</t>
    <phoneticPr fontId="1"/>
  </si>
  <si>
    <t>所得割(%)</t>
    <phoneticPr fontId="1"/>
  </si>
  <si>
    <t>医療分</t>
  </si>
  <si>
    <t>後期分</t>
  </si>
  <si>
    <t>介護分</t>
  </si>
  <si>
    <t>子ども分</t>
  </si>
  <si>
    <t>年齢</t>
  </si>
  <si>
    <t>給与収入</t>
  </si>
  <si>
    <t>年金収入</t>
  </si>
  <si>
    <t>他所得</t>
  </si>
  <si>
    <t>加入フラグ(加入=1)</t>
    <phoneticPr fontId="1"/>
  </si>
  <si>
    <t>世帯主</t>
    <rPh sb="0" eb="3">
      <t>セタイヌシ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</si>
  <si>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</si>
  <si>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</si>
  <si>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</si>
  <si>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</si>
  <si>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所得調整控除</t>
  </si>
  <si>
    <t>算定基礎額</t>
  </si>
  <si>
    <t>判定用所得</t>
  </si>
  <si>
    <t>給与所得者数</t>
  </si>
  <si>
    <t>加入者フラグ</t>
  </si>
  <si>
    <t>未就学児フラグ</t>
    <phoneticPr fontId="1"/>
  </si>
  <si>
    <t>19歳以上フラグ</t>
    <phoneticPr fontId="1"/>
  </si>
  <si>
    <t>介護対象フラグ</t>
    <phoneticPr fontId="1"/>
  </si>
  <si>
    <t>判定用所得合計</t>
    <phoneticPr fontId="1"/>
  </si>
  <si>
    <t>所得割</t>
    <rPh sb="0" eb="3">
      <t>ショトクワリ</t>
    </rPh>
    <phoneticPr fontId="1"/>
  </si>
  <si>
    <t>均等割</t>
    <rPh sb="0" eb="3">
      <t>キントウワリ</t>
    </rPh>
    <phoneticPr fontId="1"/>
  </si>
  <si>
    <t>平等割</t>
    <rPh sb="0" eb="3">
      <t>ビョウドウワリ</t>
    </rPh>
    <phoneticPr fontId="1"/>
  </si>
  <si>
    <t>【計算の中間制御】</t>
    <rPh sb="1" eb="3">
      <t>ケイサン</t>
    </rPh>
    <rPh sb="4" eb="6">
      <t>チュウカン</t>
    </rPh>
    <rPh sb="6" eb="8">
      <t>セイギョ</t>
    </rPh>
    <phoneticPr fontId="1"/>
  </si>
  <si>
    <t>合計</t>
    <rPh sb="0" eb="2">
      <t>ゴウケイ</t>
    </rPh>
    <phoneticPr fontId="1"/>
  </si>
  <si>
    <t>【計算結果】</t>
    <rPh sb="1" eb="5">
      <t>ケイサンケッカ</t>
    </rPh>
    <phoneticPr fontId="1"/>
  </si>
  <si>
    <t>加入の有無</t>
    <rPh sb="0" eb="2">
      <t>カニュウ</t>
    </rPh>
    <rPh sb="3" eb="5">
      <t>ウム</t>
    </rPh>
    <phoneticPr fontId="4"/>
  </si>
  <si>
    <r>
      <t>給与</t>
    </r>
    <r>
      <rPr>
        <sz val="11"/>
        <color rgb="FFFF0000"/>
        <rFont val="HGｺﾞｼｯｸM"/>
        <family val="3"/>
        <charset val="128"/>
      </rPr>
      <t>収入</t>
    </r>
    <rPh sb="0" eb="2">
      <t>キュウヨ</t>
    </rPh>
    <rPh sb="2" eb="4">
      <t>シュウニュウ</t>
    </rPh>
    <phoneticPr fontId="4"/>
  </si>
  <si>
    <r>
      <t>年金</t>
    </r>
    <r>
      <rPr>
        <sz val="11"/>
        <color rgb="FFFF0000"/>
        <rFont val="HGｺﾞｼｯｸM"/>
        <family val="3"/>
        <charset val="128"/>
      </rPr>
      <t>収入</t>
    </r>
    <rPh sb="0" eb="2">
      <t>ネンキン</t>
    </rPh>
    <rPh sb="2" eb="4">
      <t>シュウニュウ</t>
    </rPh>
    <phoneticPr fontId="4"/>
  </si>
  <si>
    <t>年金所得</t>
    <rPh sb="0" eb="2">
      <t>ネンキン</t>
    </rPh>
    <rPh sb="2" eb="4">
      <t>ショトク</t>
    </rPh>
    <phoneticPr fontId="4"/>
  </si>
  <si>
    <t>世帯主(必須)</t>
    <rPh sb="0" eb="3">
      <t>セタイヌシ</t>
    </rPh>
    <rPh sb="4" eb="6">
      <t>ヒッス</t>
    </rPh>
    <phoneticPr fontId="4"/>
  </si>
  <si>
    <t>加入世帯員１</t>
    <rPh sb="0" eb="2">
      <t>カニュウ</t>
    </rPh>
    <rPh sb="2" eb="5">
      <t>セタイイン</t>
    </rPh>
    <phoneticPr fontId="4"/>
  </si>
  <si>
    <t>加入世帯員２</t>
    <rPh sb="0" eb="2">
      <t>カニュウ</t>
    </rPh>
    <rPh sb="2" eb="5">
      <t>セタイイン</t>
    </rPh>
    <phoneticPr fontId="4"/>
  </si>
  <si>
    <t>加入世帯員３</t>
    <rPh sb="0" eb="2">
      <t>カニュウ</t>
    </rPh>
    <rPh sb="2" eb="5">
      <t>セタイイン</t>
    </rPh>
    <phoneticPr fontId="4"/>
  </si>
  <si>
    <t>加入世帯員４</t>
    <rPh sb="0" eb="2">
      <t>カニュウ</t>
    </rPh>
    <rPh sb="2" eb="5">
      <t>セタイイン</t>
    </rPh>
    <phoneticPr fontId="4"/>
  </si>
  <si>
    <t>区分</t>
    <rPh sb="0" eb="2">
      <t>クブン</t>
    </rPh>
    <phoneticPr fontId="1"/>
  </si>
  <si>
    <t>主/員</t>
    <rPh sb="0" eb="1">
      <t>ヌシ</t>
    </rPh>
    <rPh sb="2" eb="3">
      <t>イン</t>
    </rPh>
    <phoneticPr fontId="1"/>
  </si>
  <si>
    <t>年度</t>
    <rPh sb="0" eb="2">
      <t>ネンド</t>
    </rPh>
    <phoneticPr fontId="1"/>
  </si>
  <si>
    <t>令和8年度</t>
    <rPh sb="0" eb="2">
      <t>レイワ</t>
    </rPh>
    <rPh sb="3" eb="5">
      <t>ネンド</t>
    </rPh>
    <phoneticPr fontId="1"/>
  </si>
  <si>
    <t>給与所得</t>
    <phoneticPr fontId="1"/>
  </si>
  <si>
    <t>年金所得</t>
    <phoneticPr fontId="1"/>
  </si>
  <si>
    <t>医療分</t>
    <rPh sb="0" eb="2">
      <t>イリョウ</t>
    </rPh>
    <rPh sb="2" eb="3">
      <t>ブン</t>
    </rPh>
    <phoneticPr fontId="4"/>
  </si>
  <si>
    <t>介護分</t>
    <rPh sb="0" eb="2">
      <t>カイゴ</t>
    </rPh>
    <rPh sb="2" eb="3">
      <t>ブン</t>
    </rPh>
    <phoneticPr fontId="4"/>
  </si>
  <si>
    <t>子ども分</t>
    <rPh sb="0" eb="1">
      <t>コ</t>
    </rPh>
    <rPh sb="3" eb="4">
      <t>ブン</t>
    </rPh>
    <phoneticPr fontId="4"/>
  </si>
  <si>
    <t>所得割額</t>
    <rPh sb="0" eb="2">
      <t>ショトク</t>
    </rPh>
    <rPh sb="2" eb="3">
      <t>ワリ</t>
    </rPh>
    <rPh sb="3" eb="4">
      <t>ガク</t>
    </rPh>
    <phoneticPr fontId="4"/>
  </si>
  <si>
    <t>均等割額</t>
    <rPh sb="0" eb="3">
      <t>キントウワリ</t>
    </rPh>
    <rPh sb="3" eb="4">
      <t>ガク</t>
    </rPh>
    <phoneticPr fontId="4"/>
  </si>
  <si>
    <t>平等割額</t>
    <rPh sb="0" eb="2">
      <t>ビョウドウ</t>
    </rPh>
    <rPh sb="2" eb="3">
      <t>ワリ</t>
    </rPh>
    <rPh sb="3" eb="4">
      <t>ガク</t>
    </rPh>
    <phoneticPr fontId="4"/>
  </si>
  <si>
    <t>限度超過額</t>
    <rPh sb="0" eb="2">
      <t>ゲンド</t>
    </rPh>
    <rPh sb="2" eb="4">
      <t>チョウカ</t>
    </rPh>
    <rPh sb="4" eb="5">
      <t>ガク</t>
    </rPh>
    <phoneticPr fontId="4"/>
  </si>
  <si>
    <t>合計</t>
    <rPh sb="0" eb="2">
      <t>ゴウケイ</t>
    </rPh>
    <phoneticPr fontId="4"/>
  </si>
  <si>
    <t>年間保険料</t>
    <rPh sb="0" eb="2">
      <t>ネンカン</t>
    </rPh>
    <rPh sb="2" eb="5">
      <t>ホケンリョウ</t>
    </rPh>
    <phoneticPr fontId="4"/>
  </si>
  <si>
    <t>　↓　ここから下はHP公開時に非表示設定すること</t>
    <rPh sb="7" eb="8">
      <t>シタ</t>
    </rPh>
    <rPh sb="11" eb="14">
      <t>コウカイジ</t>
    </rPh>
    <rPh sb="15" eb="18">
      <t>ヒヒョウジ</t>
    </rPh>
    <rPh sb="18" eb="20">
      <t>セッテイ</t>
    </rPh>
    <phoneticPr fontId="1"/>
  </si>
  <si>
    <t>未就学児</t>
  </si>
  <si>
    <t>75歳以上</t>
  </si>
  <si>
    <t>【年齢選択/渡す値】</t>
    <rPh sb="1" eb="3">
      <t>ネンレイ</t>
    </rPh>
    <rPh sb="3" eb="5">
      <t>センタク</t>
    </rPh>
    <rPh sb="6" eb="7">
      <t>ワタ</t>
    </rPh>
    <rPh sb="8" eb="9">
      <t>アタイ</t>
    </rPh>
    <phoneticPr fontId="1"/>
  </si>
  <si>
    <t>国保加入する</t>
  </si>
  <si>
    <t>加入者数</t>
    <phoneticPr fontId="1"/>
  </si>
  <si>
    <t>判定用給与所得者数</t>
    <phoneticPr fontId="1"/>
  </si>
  <si>
    <t>軽減率</t>
    <phoneticPr fontId="1"/>
  </si>
  <si>
    <t>限度超過額</t>
    <rPh sb="0" eb="5">
      <t>ゲンドチョウカガク</t>
    </rPh>
    <phoneticPr fontId="1"/>
  </si>
  <si>
    <t>5割</t>
    <rPh sb="1" eb="2">
      <t>ワリ</t>
    </rPh>
    <phoneticPr fontId="1"/>
  </si>
  <si>
    <t>2割</t>
    <rPh sb="1" eb="2">
      <t>ワリ</t>
    </rPh>
    <phoneticPr fontId="1"/>
  </si>
  <si>
    <r>
      <t>給与・年金以外の</t>
    </r>
    <r>
      <rPr>
        <u/>
        <sz val="11"/>
        <color rgb="FFFF0000"/>
        <rFont val="HGｺﾞｼｯｸM"/>
        <family val="3"/>
        <charset val="128"/>
      </rPr>
      <t>所得</t>
    </r>
    <r>
      <rPr>
        <vertAlign val="superscript"/>
        <sz val="11"/>
        <rFont val="HGｺﾞｼｯｸM"/>
        <family val="3"/>
        <charset val="128"/>
      </rPr>
      <t>※</t>
    </r>
    <r>
      <rPr>
        <vertAlign val="superscript"/>
        <sz val="11"/>
        <color theme="1"/>
        <rFont val="HGｺﾞｼｯｸM"/>
        <family val="3"/>
        <charset val="128"/>
      </rPr>
      <t>2</t>
    </r>
    <rPh sb="0" eb="2">
      <t>キュウヨ</t>
    </rPh>
    <rPh sb="3" eb="5">
      <t>ネンキン</t>
    </rPh>
    <rPh sb="5" eb="7">
      <t>イガイ</t>
    </rPh>
    <rPh sb="8" eb="10">
      <t>ショトク</t>
    </rPh>
    <phoneticPr fontId="4"/>
  </si>
  <si>
    <r>
      <t>年齢</t>
    </r>
    <r>
      <rPr>
        <vertAlign val="superscript"/>
        <sz val="11"/>
        <color theme="1"/>
        <rFont val="HGｺﾞｼｯｸM"/>
        <family val="3"/>
        <charset val="128"/>
      </rPr>
      <t>※1</t>
    </r>
    <rPh sb="0" eb="2">
      <t>ネンレイ</t>
    </rPh>
    <phoneticPr fontId="4"/>
  </si>
  <si>
    <t>【料率設定】　※赤文字は例年のメンテ箇所</t>
    <rPh sb="1" eb="5">
      <t>リョウリツセッテイ</t>
    </rPh>
    <rPh sb="8" eb="11">
      <t>アカモジ</t>
    </rPh>
    <rPh sb="12" eb="14">
      <t>レイネン</t>
    </rPh>
    <rPh sb="18" eb="20">
      <t>カショ</t>
    </rPh>
    <phoneticPr fontId="1"/>
  </si>
  <si>
    <t>【軽減人数加算額】　※赤文字は例年のメンテ箇所</t>
    <rPh sb="1" eb="3">
      <t>ケイゲン</t>
    </rPh>
    <rPh sb="3" eb="7">
      <t>ニンズウカサン</t>
    </rPh>
    <rPh sb="7" eb="8">
      <t>ガク</t>
    </rPh>
    <phoneticPr fontId="1"/>
  </si>
  <si>
    <t>小学生～18歳以下</t>
    <rPh sb="7" eb="9">
      <t>イカ</t>
    </rPh>
    <phoneticPr fontId="1"/>
  </si>
  <si>
    <t>19歳以上～39歳以下</t>
    <rPh sb="9" eb="11">
      <t>イカ</t>
    </rPh>
    <phoneticPr fontId="1"/>
  </si>
  <si>
    <t>40歳以上～64歳以下</t>
    <rPh sb="8" eb="9">
      <t>サイ</t>
    </rPh>
    <rPh sb="9" eb="11">
      <t>イカ</t>
    </rPh>
    <phoneticPr fontId="1"/>
  </si>
  <si>
    <t>65歳以上～74歳以下</t>
    <rPh sb="9" eb="11">
      <t>イカ</t>
    </rPh>
    <phoneticPr fontId="1"/>
  </si>
  <si>
    <t>（※1）18歳以下とは、18歳に達する日以後の最初の3月31日以前である被保険者、いわゆる高校生世代までの年齢のことです。　（※2）退職所得は除きます。</t>
    <rPh sb="6" eb="7">
      <t>サイ</t>
    </rPh>
    <rPh sb="7" eb="9">
      <t>イカ</t>
    </rPh>
    <rPh sb="14" eb="15">
      <t>サイ</t>
    </rPh>
    <rPh sb="16" eb="17">
      <t>タッ</t>
    </rPh>
    <rPh sb="19" eb="20">
      <t>ヒ</t>
    </rPh>
    <rPh sb="20" eb="22">
      <t>イゴ</t>
    </rPh>
    <rPh sb="23" eb="25">
      <t>サイショ</t>
    </rPh>
    <rPh sb="27" eb="28">
      <t>ガツ</t>
    </rPh>
    <rPh sb="30" eb="31">
      <t>ニチ</t>
    </rPh>
    <rPh sb="31" eb="33">
      <t>イゼン</t>
    </rPh>
    <rPh sb="36" eb="40">
      <t>ヒホケンシャ</t>
    </rPh>
    <rPh sb="45" eb="48">
      <t>コウコウセイ</t>
    </rPh>
    <rPh sb="48" eb="50">
      <t>セダイ</t>
    </rPh>
    <rPh sb="53" eb="55">
      <t>ネンレイ</t>
    </rPh>
    <rPh sb="66" eb="68">
      <t>タイショク</t>
    </rPh>
    <rPh sb="68" eb="70">
      <t>ショトク</t>
    </rPh>
    <rPh sb="71" eb="72">
      <t>ノゾ</t>
    </rPh>
    <phoneticPr fontId="4"/>
  </si>
  <si>
    <t>後期分</t>
    <rPh sb="0" eb="2">
      <t>コウキ</t>
    </rPh>
    <rPh sb="2" eb="3">
      <t>ブン</t>
    </rPh>
    <phoneticPr fontId="4"/>
  </si>
  <si>
    <t>令和　年度　堺市国民健康保険料　試算シート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</si>
</sst>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HGｺﾞｼｯｸM"/>
      <family val="3"/>
      <charset val="128"/>
    </font>
    <font>
      <u/>
      <sz val="11"/>
      <color rgb="FFFF0000"/>
      <name val="HGｺﾞｼｯｸM"/>
      <family val="3"/>
      <charset val="128"/>
    </font>
    <font>
      <vertAlign val="superscript"/>
      <sz val="11"/>
      <name val="HGｺﾞｼｯｸM"/>
      <family val="3"/>
      <charset val="128"/>
    </font>
    <font>
      <sz val="11"/>
      <color rgb="FFFF0000"/>
      <name val="Yu Gothic"/>
      <family val="2"/>
      <scheme val="minor"/>
    </font>
    <font>
      <b/>
      <sz val="11"/>
      <color rgb="FFFF0000"/>
      <name val="HGｺﾞｼｯｸM"/>
      <family val="3"/>
      <charset val="128"/>
    </font>
    <font>
      <sz val="11"/>
      <name val="Yu Gothic"/>
      <family val="2"/>
      <scheme val="minor"/>
    </font>
    <font>
      <vertAlign val="superscript"/>
      <sz val="11"/>
      <color theme="1"/>
      <name val="HGｺﾞｼｯｸM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00B050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 applyProtection="1">
      <alignment vertical="center"/>
      <protection locked="0"/>
    </xf>
    <xf numFmtId="176" fontId="3" fillId="3" borderId="2" xfId="0" applyNumberFormat="1" applyFont="1" applyFill="1" applyBorder="1" applyAlignment="1" applyProtection="1">
      <alignment vertical="center"/>
      <protection locked="0"/>
    </xf>
    <xf numFmtId="176" fontId="3" fillId="0" borderId="2" xfId="0" applyNumberFormat="1" applyFont="1" applyBorder="1" applyAlignment="1">
      <alignment vertical="center"/>
    </xf>
    <xf numFmtId="0" fontId="8" fillId="0" borderId="0" xfId="0" applyFo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Font="1"/>
    <xf numFmtId="0" fontId="12" fillId="0" borderId="0" xfId="0" applyFont="1"/>
    <xf numFmtId="0" fontId="0" fillId="0" borderId="0" xfId="0" applyNumberFormat="1" applyFont="1"/>
    <xf numFmtId="0" fontId="0" fillId="6" borderId="0" xfId="0" applyFont="1" applyFill="1"/>
    <xf numFmtId="0" fontId="13" fillId="6" borderId="0" xfId="0" applyFont="1" applyFill="1"/>
    <xf numFmtId="0" fontId="3" fillId="0" borderId="10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vertical="center"/>
      <protection locked="0"/>
    </xf>
    <xf numFmtId="176" fontId="3" fillId="3" borderId="12" xfId="0" applyNumberFormat="1" applyFont="1" applyFill="1" applyBorder="1" applyAlignment="1" applyProtection="1">
      <alignment vertical="center"/>
      <protection locked="0"/>
    </xf>
    <xf numFmtId="176" fontId="3" fillId="0" borderId="12" xfId="0" applyNumberFormat="1" applyFont="1" applyBorder="1" applyAlignment="1">
      <alignment vertical="center"/>
    </xf>
    <xf numFmtId="176" fontId="3" fillId="3" borderId="13" xfId="0" applyNumberFormat="1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vertical="center"/>
      <protection locked="0"/>
    </xf>
    <xf numFmtId="176" fontId="3" fillId="3" borderId="14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440531</xdr:colOff>
      <xdr:row>1</xdr:row>
      <xdr:rowOff>178593</xdr:rowOff>
    </xdr:from>
    <xdr:to>
      <xdr:col>11</xdr:col>
      <xdr:colOff>526929</xdr:colOff>
      <xdr:row>3</xdr:row>
      <xdr:rowOff>91508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D8373ED-00CD-47F6-ACCB-A5BCC7299874}"/>
            </a:ext>
          </a:extLst>
        </xdr:cNvPr>
        <xdr:cNvSpPr/>
      </xdr:nvSpPr>
      <xdr:spPr>
        <a:xfrm>
          <a:off x="12137231" y="416718"/>
          <a:ext cx="2143798" cy="408215"/>
        </a:xfrm>
        <a:prstGeom prst="wedgeRectCallout">
          <a:avLst>
            <a:gd name="adj1" fmla="val -67565"/>
            <a:gd name="adj2" fmla="val -437"/>
          </a:avLst>
        </a:prstGeom>
        <a:ln w="28575">
          <a:solidFill>
            <a:srgbClr val="FF000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世帯主の行は入力必須です。</a:t>
          </a:r>
        </a:p>
      </xdr:txBody>
    </xdr:sp>
    <xdr:clientData/>
  </xdr:twoCellAnchor>
  <xdr:twoCellAnchor>
    <xdr:from>
      <xdr:col>0</xdr:col>
      <xdr:colOff>71437</xdr:colOff>
      <xdr:row>10</xdr:row>
      <xdr:rowOff>59531</xdr:rowOff>
    </xdr:from>
    <xdr:to>
      <xdr:col>1</xdr:col>
      <xdr:colOff>848744</xdr:colOff>
      <xdr:row>15</xdr:row>
      <xdr:rowOff>120763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8B96C7-7C4E-4E79-B2DD-E951EC538F52}"/>
            </a:ext>
          </a:extLst>
        </xdr:cNvPr>
        <xdr:cNvSpPr/>
      </xdr:nvSpPr>
      <xdr:spPr>
        <a:xfrm>
          <a:off x="71437" y="2459831"/>
          <a:ext cx="1929832" cy="1251857"/>
        </a:xfrm>
        <a:prstGeom prst="wedgeRectCallout">
          <a:avLst>
            <a:gd name="adj1" fmla="val 30970"/>
            <a:gd name="adj2" fmla="val -9138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加入の有無を選択してください。なお、世帯主のみ「国保加入しない」を選択できます。</a:t>
          </a:r>
        </a:p>
      </xdr:txBody>
    </xdr:sp>
    <xdr:clientData/>
  </xdr:twoCellAnchor>
  <xdr:twoCellAnchor>
    <xdr:from>
      <xdr:col>2</xdr:col>
      <xdr:colOff>130969</xdr:colOff>
      <xdr:row>10</xdr:row>
      <xdr:rowOff>71438</xdr:rowOff>
    </xdr:from>
    <xdr:to>
      <xdr:col>2</xdr:col>
      <xdr:colOff>1434532</xdr:colOff>
      <xdr:row>12</xdr:row>
      <xdr:rowOff>232003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6C7D0B0-C19B-4A00-8D14-7E41AFD3308D}"/>
            </a:ext>
          </a:extLst>
        </xdr:cNvPr>
        <xdr:cNvSpPr/>
      </xdr:nvSpPr>
      <xdr:spPr>
        <a:xfrm>
          <a:off x="2455069" y="2471738"/>
          <a:ext cx="1303563" cy="636815"/>
        </a:xfrm>
        <a:prstGeom prst="wedgeRectCallout">
          <a:avLst>
            <a:gd name="adj1" fmla="val -13727"/>
            <a:gd name="adj2" fmla="val -13126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年齢の範囲を選択してください。</a:t>
          </a:r>
        </a:p>
      </xdr:txBody>
    </xdr:sp>
    <xdr:clientData/>
  </xdr:twoCellAnchor>
  <xdr:twoCellAnchor>
    <xdr:from>
      <xdr:col>3</xdr:col>
      <xdr:colOff>416719</xdr:colOff>
      <xdr:row>10</xdr:row>
      <xdr:rowOff>59531</xdr:rowOff>
    </xdr:from>
    <xdr:to>
      <xdr:col>4</xdr:col>
      <xdr:colOff>1428750</xdr:colOff>
      <xdr:row>15</xdr:row>
      <xdr:rowOff>47287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39C1A1F-5DA7-4DE2-8219-2B627AD263C8}"/>
            </a:ext>
          </a:extLst>
        </xdr:cNvPr>
        <xdr:cNvSpPr/>
      </xdr:nvSpPr>
      <xdr:spPr>
        <a:xfrm>
          <a:off x="4302919" y="2459831"/>
          <a:ext cx="2574131" cy="1178381"/>
        </a:xfrm>
        <a:prstGeom prst="wedgeRectCallout">
          <a:avLst>
            <a:gd name="adj1" fmla="val -38850"/>
            <a:gd name="adj2" fmla="val -93145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給与</a:t>
          </a:r>
          <a:r>
            <a:rPr kumimoji="1" lang="ja-JP" altLang="en-US" sz="1100">
              <a:solidFill>
                <a:srgbClr val="FF0000"/>
              </a:solidFill>
            </a:rPr>
            <a:t>収入</a:t>
          </a:r>
          <a:r>
            <a:rPr kumimoji="1" lang="ja-JP" altLang="en-US" sz="1100"/>
            <a:t>を半角数字で入力してください。「円」は不要です。</a:t>
          </a:r>
          <a:endParaRPr kumimoji="1" lang="en-US" altLang="ja-JP" sz="1100"/>
        </a:p>
        <a:p>
          <a:pPr algn="l"/>
          <a:r>
            <a:rPr kumimoji="1" lang="ja-JP" altLang="en-US" sz="1100"/>
            <a:t>（給与</a:t>
          </a:r>
          <a:r>
            <a:rPr kumimoji="1" lang="ja-JP" altLang="en-US" sz="1100" u="sng"/>
            <a:t>所得</a:t>
          </a:r>
          <a:r>
            <a:rPr kumimoji="1" lang="ja-JP" altLang="en-US" sz="1100"/>
            <a:t>ではありませんので、ご注意ください。）</a:t>
          </a:r>
        </a:p>
      </xdr:txBody>
    </xdr:sp>
    <xdr:clientData/>
  </xdr:twoCellAnchor>
  <xdr:twoCellAnchor>
    <xdr:from>
      <xdr:col>5</xdr:col>
      <xdr:colOff>381000</xdr:colOff>
      <xdr:row>10</xdr:row>
      <xdr:rowOff>95250</xdr:rowOff>
    </xdr:from>
    <xdr:to>
      <xdr:col>6</xdr:col>
      <xdr:colOff>1385053</xdr:colOff>
      <xdr:row>15</xdr:row>
      <xdr:rowOff>77563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A58B2CE-2BB3-4F71-A77D-0E7FA97136B1}"/>
            </a:ext>
          </a:extLst>
        </xdr:cNvPr>
        <xdr:cNvSpPr/>
      </xdr:nvSpPr>
      <xdr:spPr>
        <a:xfrm>
          <a:off x="7391400" y="2495550"/>
          <a:ext cx="2566153" cy="1172938"/>
        </a:xfrm>
        <a:prstGeom prst="wedgeRectCallout">
          <a:avLst>
            <a:gd name="adj1" fmla="val -42929"/>
            <a:gd name="adj2" fmla="val -9554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年金</a:t>
          </a:r>
          <a:r>
            <a:rPr kumimoji="1" lang="ja-JP" altLang="en-US" sz="1100">
              <a:solidFill>
                <a:srgbClr val="FF0000"/>
              </a:solidFill>
            </a:rPr>
            <a:t>収入</a:t>
          </a:r>
          <a:r>
            <a:rPr kumimoji="1" lang="ja-JP" altLang="en-US" sz="1100"/>
            <a:t>を半角数字で入力してください。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「円」は不要です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r>
            <a:rPr kumimoji="1" lang="ja-JP" altLang="en-US" sz="1100"/>
            <a:t>（年金</a:t>
          </a:r>
          <a:r>
            <a:rPr kumimoji="1" lang="ja-JP" altLang="en-US" sz="1100" u="sng">
              <a:solidFill>
                <a:sysClr val="windowText" lastClr="000000"/>
              </a:solidFill>
            </a:rPr>
            <a:t>所得</a:t>
          </a:r>
          <a:r>
            <a:rPr kumimoji="1" lang="ja-JP" altLang="en-US" sz="1100"/>
            <a:t>ではありませんので、ご注意ください。）</a:t>
          </a:r>
        </a:p>
      </xdr:txBody>
    </xdr:sp>
    <xdr:clientData/>
  </xdr:twoCellAnchor>
  <xdr:twoCellAnchor>
    <xdr:from>
      <xdr:col>7</xdr:col>
      <xdr:colOff>333374</xdr:colOff>
      <xdr:row>10</xdr:row>
      <xdr:rowOff>119062</xdr:rowOff>
    </xdr:from>
    <xdr:to>
      <xdr:col>10</xdr:col>
      <xdr:colOff>413318</xdr:colOff>
      <xdr:row>17</xdr:row>
      <xdr:rowOff>41500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184FEA6-350C-453B-AFB6-9A86A7F3C812}"/>
            </a:ext>
          </a:extLst>
        </xdr:cNvPr>
        <xdr:cNvSpPr/>
      </xdr:nvSpPr>
      <xdr:spPr>
        <a:xfrm>
          <a:off x="10467974" y="2519362"/>
          <a:ext cx="3013644" cy="1589313"/>
        </a:xfrm>
        <a:prstGeom prst="wedgeRectCallout">
          <a:avLst>
            <a:gd name="adj1" fmla="val -34911"/>
            <a:gd name="adj2" fmla="val -8695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給与・年金以外の</a:t>
          </a:r>
          <a:r>
            <a:rPr kumimoji="1" lang="ja-JP" altLang="en-US" sz="1100">
              <a:solidFill>
                <a:srgbClr val="FF0000"/>
              </a:solidFill>
            </a:rPr>
            <a:t>所得</a:t>
          </a:r>
          <a:r>
            <a:rPr kumimoji="1" lang="ja-JP" altLang="en-US" sz="1100"/>
            <a:t>があった方は、それらの</a:t>
          </a:r>
          <a:r>
            <a:rPr kumimoji="1" lang="ja-JP" altLang="en-US" sz="1100">
              <a:solidFill>
                <a:srgbClr val="FF0000"/>
              </a:solidFill>
            </a:rPr>
            <a:t>所得</a:t>
          </a:r>
          <a:r>
            <a:rPr kumimoji="1" lang="ja-JP" altLang="en-US" sz="1100"/>
            <a:t>の合計金額を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半角数字で入力してください。「円」は不要です。</a:t>
          </a:r>
          <a:endParaRPr kumimoji="1" lang="en-US" altLang="ja-JP" sz="1100"/>
        </a:p>
        <a:p>
          <a:pPr algn="l"/>
          <a:r>
            <a:rPr kumimoji="1" lang="ja-JP" altLang="en-US" sz="1100"/>
            <a:t>（こちらは</a:t>
          </a:r>
          <a:r>
            <a:rPr kumimoji="1" lang="ja-JP" altLang="en-US" sz="1100" u="sng"/>
            <a:t>収入</a:t>
          </a:r>
          <a:r>
            <a:rPr kumimoji="1" lang="ja-JP" altLang="en-US" sz="1100"/>
            <a:t>ではなく</a:t>
          </a:r>
          <a:r>
            <a:rPr kumimoji="1" lang="ja-JP" altLang="en-US" sz="1100">
              <a:solidFill>
                <a:srgbClr val="FF0000"/>
              </a:solidFill>
            </a:rPr>
            <a:t>所得</a:t>
          </a:r>
          <a:r>
            <a:rPr kumimoji="1" lang="ja-JP" altLang="en-US" sz="1100"/>
            <a:t>を入力してください。）</a:t>
          </a:r>
        </a:p>
      </xdr:txBody>
    </xdr:sp>
    <xdr:clientData/>
  </xdr:twoCellAnchor>
  <xdr:twoCellAnchor>
    <xdr:from>
      <xdr:col>0</xdr:col>
      <xdr:colOff>702469</xdr:colOff>
      <xdr:row>25</xdr:row>
      <xdr:rowOff>142875</xdr:rowOff>
    </xdr:from>
    <xdr:to>
      <xdr:col>7</xdr:col>
      <xdr:colOff>297657</xdr:colOff>
      <xdr:row>27</xdr:row>
      <xdr:rowOff>230719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B72E53B-7089-4EF0-A07E-A9613A4A446B}"/>
            </a:ext>
          </a:extLst>
        </xdr:cNvPr>
        <xdr:cNvSpPr/>
      </xdr:nvSpPr>
      <xdr:spPr>
        <a:xfrm>
          <a:off x="702469" y="6162675"/>
          <a:ext cx="9729788" cy="573619"/>
        </a:xfrm>
        <a:prstGeom prst="roundRect">
          <a:avLst/>
        </a:prstGeom>
        <a:ln w="34925" cmpd="dbl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この画面の入力値・試算結果は、あくまで例です。この画面どおりの試算結果にはなりません。</a:t>
          </a:r>
        </a:p>
      </xdr:txBody>
    </xdr:sp>
    <xdr:clientData/>
  </xdr:twoCellAnchor>
  <xdr:twoCellAnchor>
    <xdr:from>
      <xdr:col>6</xdr:col>
      <xdr:colOff>881064</xdr:colOff>
      <xdr:row>23</xdr:row>
      <xdr:rowOff>107156</xdr:rowOff>
    </xdr:from>
    <xdr:to>
      <xdr:col>9</xdr:col>
      <xdr:colOff>404814</xdr:colOff>
      <xdr:row>25</xdr:row>
      <xdr:rowOff>45924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3F9D31DB-98A5-43D5-868A-5315A78D2711}"/>
            </a:ext>
          </a:extLst>
        </xdr:cNvPr>
        <xdr:cNvSpPr/>
      </xdr:nvSpPr>
      <xdr:spPr>
        <a:xfrm>
          <a:off x="9453564" y="5612606"/>
          <a:ext cx="3333750" cy="453118"/>
        </a:xfrm>
        <a:prstGeom prst="wedgeRectCallout">
          <a:avLst>
            <a:gd name="adj1" fmla="val -73910"/>
            <a:gd name="adj2" fmla="val 404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試算結果はこちらに表示されます。</a:t>
          </a:r>
        </a:p>
      </xdr:txBody>
    </xdr:sp>
    <xdr:clientData/>
  </xdr:twoCellAnchor>
  <xdr:twoCellAnchor>
    <xdr:from>
      <xdr:col>6</xdr:col>
      <xdr:colOff>881063</xdr:colOff>
      <xdr:row>18</xdr:row>
      <xdr:rowOff>119062</xdr:rowOff>
    </xdr:from>
    <xdr:to>
      <xdr:col>9</xdr:col>
      <xdr:colOff>381001</xdr:colOff>
      <xdr:row>23</xdr:row>
      <xdr:rowOff>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FD24ADAE-0465-447E-AC2B-5CF4440DB7B6}"/>
            </a:ext>
          </a:extLst>
        </xdr:cNvPr>
        <xdr:cNvSpPr/>
      </xdr:nvSpPr>
      <xdr:spPr>
        <a:xfrm>
          <a:off x="9453563" y="4424362"/>
          <a:ext cx="3309938" cy="1081088"/>
        </a:xfrm>
        <a:prstGeom prst="wedgeRectCallout">
          <a:avLst>
            <a:gd name="adj1" fmla="val -71179"/>
            <a:gd name="adj2" fmla="val -1310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以下の軽減に該当する場合、軽減後の額がこちらに表示されます。</a:t>
          </a:r>
          <a:endParaRPr kumimoji="1" lang="en-US" altLang="ja-JP" sz="1100"/>
        </a:p>
        <a:p>
          <a:pPr algn="l"/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・低所得世帯に対する保険料の軽減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・子育て世帯における保険料の軽減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zoomScale="80" zoomScaleNormal="80" workbookViewId="0">
      <selection activeCell="I8" sqref="I8"/>
    </sheetView>
  </sheetViews>
  <sheetFormatPr defaultColWidth="9" defaultRowHeight="18.75"/>
  <cols>
    <col min="1" max="1" width="15.125" style="20" bestFit="1" customWidth="1"/>
    <col min="2" max="2" width="15.375" style="20" bestFit="1" customWidth="1"/>
    <col min="3" max="3" width="20.5" style="20" bestFit="1" customWidth="1"/>
    <col min="4" max="8" width="20.5" style="20" customWidth="1"/>
    <col min="9" max="11" width="20.25" style="20" customWidth="1"/>
    <col min="12" max="13" width="13.375" style="20" customWidth="1"/>
    <col min="14" max="14" width="15.5" style="20" customWidth="1"/>
    <col min="15" max="15" width="15.75" style="20" customWidth="1"/>
    <col min="16" max="16" width="15.5" style="20" customWidth="1"/>
    <col min="17" max="17" width="9" style="20"/>
    <col min="18" max="18" width="19.25" style="20" customWidth="1"/>
    <col min="19" max="19" width="14.125" style="20" customWidth="1"/>
    <col min="20" max="16384" width="9" style="20"/>
  </cols>
  <sheetData>
    <row r="1" spans="1:8" ht="23.25" customHeight="1">
      <c r="A1" s="37" t="str">
        <f>B22&amp;+"　堺市国民健康保険料　試算シート"</f>
        <v>令和8年度　堺市国民健康保険料　試算シート</v>
      </c>
      <c r="B1" s="37"/>
      <c r="C1" s="37"/>
      <c r="D1" s="37"/>
      <c r="E1" s="37"/>
      <c r="F1" s="37"/>
      <c r="G1" s="37"/>
      <c r="H1" s="37"/>
    </row>
    <row r="2" spans="1:8" ht="23.25" customHeight="1">
      <c r="A2" s="2"/>
      <c r="B2" s="3" t="s">
        <v>33</v>
      </c>
      <c r="C2" s="3" t="s">
        <v>69</v>
      </c>
      <c r="D2" s="3" t="s">
        <v>34</v>
      </c>
      <c r="E2" s="4" t="str">
        <f>IF(SUM(E33:E38)&gt;0,"給与所得(調整控除後)","給与所得")</f>
        <v>給与所得</v>
      </c>
      <c r="F2" s="3" t="s">
        <v>35</v>
      </c>
      <c r="G2" s="3" t="s">
        <v>36</v>
      </c>
      <c r="H2" s="4" t="s">
        <v>68</v>
      </c>
    </row>
    <row r="3" spans="1:8" ht="23.25" customHeight="1">
      <c r="A3" s="3" t="s">
        <v>37</v>
      </c>
      <c r="B3" s="5" t="s">
        <v>61</v>
      </c>
      <c r="C3" s="5" t="s">
        <v>74</v>
      </c>
      <c r="D3" s="6">
        <v>3000000</v>
      </c>
      <c r="E3" s="7">
        <f>IF(D3="","",G32-I32)</f>
        <v>2020000</v>
      </c>
      <c r="F3" s="6"/>
      <c r="G3" s="7" t="str">
        <f>IF(F3="","",H32)</f>
        <v/>
      </c>
      <c r="H3" s="6"/>
    </row>
    <row r="4" spans="1:8" ht="23.25" customHeight="1">
      <c r="A4" s="3" t="s">
        <v>38</v>
      </c>
      <c r="B4" s="5" t="s">
        <v>61</v>
      </c>
      <c r="C4" s="5" t="s">
        <v>74</v>
      </c>
      <c r="D4" s="6"/>
      <c r="E4" s="7" t="str">
        <f>IF(D4="","",G33-I33)</f>
        <v/>
      </c>
      <c r="F4" s="6"/>
      <c r="G4" s="7" t="str">
        <f>IF(F4="","",H33)</f>
        <v/>
      </c>
      <c r="H4" s="6"/>
    </row>
    <row r="5" spans="1:8" ht="23.25" customHeight="1">
      <c r="A5" s="3" t="s">
        <v>39</v>
      </c>
      <c r="B5" s="5" t="s">
        <v>61</v>
      </c>
      <c r="C5" s="5" t="s">
        <v>72</v>
      </c>
      <c r="D5" s="6"/>
      <c r="E5" s="7" t="str">
        <f>IF(D5="","",G34-I34)</f>
        <v/>
      </c>
      <c r="F5" s="6"/>
      <c r="G5" s="7" t="str">
        <f>IF(F5="","",H34)</f>
        <v/>
      </c>
      <c r="H5" s="6"/>
    </row>
    <row r="6" spans="1:8" ht="23.25" customHeight="1">
      <c r="A6" s="3" t="s">
        <v>40</v>
      </c>
      <c r="B6" s="5"/>
      <c r="C6" s="5"/>
      <c r="D6" s="6"/>
      <c r="E6" s="7" t="str">
        <f>IF(D6="","",G35-I35)</f>
        <v/>
      </c>
      <c r="F6" s="6"/>
      <c r="G6" s="7" t="str">
        <f>IF(F6="","",H35)</f>
        <v/>
      </c>
      <c r="H6" s="6"/>
    </row>
    <row r="7" spans="1:8" ht="23.25" customHeight="1">
      <c r="A7" s="3" t="s">
        <v>41</v>
      </c>
      <c r="B7" s="5"/>
      <c r="C7" s="5"/>
      <c r="D7" s="6"/>
      <c r="E7" s="7" t="str">
        <f>IF(D7="","",G36-I36)</f>
        <v/>
      </c>
      <c r="F7" s="6"/>
      <c r="G7" s="7" t="str">
        <f>IF(F7="","",H36)</f>
        <v/>
      </c>
      <c r="H7" s="6"/>
    </row>
    <row r="8" spans="1:8" ht="23.25" customHeight="1">
      <c r="A8" s="9"/>
      <c r="B8" s="9" t="s">
        <v>76</v>
      </c>
      <c r="C8" s="9"/>
      <c r="D8" s="1"/>
      <c r="E8" s="1"/>
      <c r="F8" s="1"/>
      <c r="G8" s="1"/>
      <c r="H8" s="10"/>
    </row>
    <row r="9" spans="1:8" ht="23.25" customHeight="1"/>
    <row r="10" spans="1:8" ht="23.25" customHeight="1">
      <c r="B10" s="11"/>
      <c r="C10" s="12" t="s">
        <v>48</v>
      </c>
      <c r="D10" s="12" t="s">
        <v>77</v>
      </c>
      <c r="E10" s="12" t="s">
        <v>49</v>
      </c>
      <c r="F10" s="12" t="s">
        <v>50</v>
      </c>
    </row>
    <row r="11" spans="1:8" ht="23.25" customHeight="1">
      <c r="B11" s="12" t="s">
        <v>51</v>
      </c>
      <c r="C11" s="7">
        <f>C41</f>
        <v>151050</v>
      </c>
      <c r="D11" s="7">
        <f>C42</f>
        <v>48654</v>
      </c>
      <c r="E11" s="7">
        <f>C43</f>
        <v>41340</v>
      </c>
      <c r="F11" s="7">
        <f>C44</f>
        <v>4452</v>
      </c>
    </row>
    <row r="12" spans="1:8" ht="23.25" customHeight="1">
      <c r="B12" s="12" t="s">
        <v>52</v>
      </c>
      <c r="C12" s="7">
        <f>D41</f>
        <v>83976</v>
      </c>
      <c r="D12" s="7">
        <f>D42</f>
        <v>26858</v>
      </c>
      <c r="E12" s="7">
        <f>D43</f>
        <v>29891</v>
      </c>
      <c r="F12" s="7">
        <f>D44</f>
        <v>2945</v>
      </c>
    </row>
    <row r="13" spans="1:8" ht="23.25" customHeight="1">
      <c r="B13" s="12" t="s">
        <v>53</v>
      </c>
      <c r="C13" s="7">
        <f>E41</f>
        <v>27126</v>
      </c>
      <c r="D13" s="7">
        <f>E42</f>
        <v>8676</v>
      </c>
      <c r="E13" s="13"/>
      <c r="F13" s="13"/>
    </row>
    <row r="14" spans="1:8" ht="23.25" customHeight="1" thickBot="1">
      <c r="B14" s="14" t="s">
        <v>54</v>
      </c>
      <c r="C14" s="15">
        <f>F41</f>
        <v>0</v>
      </c>
      <c r="D14" s="15">
        <f>F42</f>
        <v>0</v>
      </c>
      <c r="E14" s="15">
        <f>F43</f>
        <v>0</v>
      </c>
      <c r="F14" s="15">
        <f>F44</f>
        <v>0</v>
      </c>
    </row>
    <row r="15" spans="1:8" ht="23.25" customHeight="1" thickTop="1" thickBot="1">
      <c r="B15" s="16" t="s">
        <v>55</v>
      </c>
      <c r="C15" s="17">
        <f>B41</f>
        <v>262152</v>
      </c>
      <c r="D15" s="17">
        <f>B42</f>
        <v>84188</v>
      </c>
      <c r="E15" s="17">
        <f>B43</f>
        <v>71231</v>
      </c>
      <c r="F15" s="17">
        <f>B44</f>
        <v>7397</v>
      </c>
    </row>
    <row r="16" spans="1:8" ht="23.25" customHeight="1" thickTop="1" thickBot="1">
      <c r="B16" s="18" t="s">
        <v>56</v>
      </c>
      <c r="C16" s="38">
        <f>SUM(C15:F15)</f>
        <v>424968</v>
      </c>
      <c r="D16" s="39"/>
      <c r="E16" s="39"/>
      <c r="F16" s="40"/>
    </row>
    <row r="17" spans="1:19" ht="19.5" thickTop="1"/>
    <row r="20" spans="1:19" s="23" customFormat="1" hidden="1">
      <c r="A20" s="24" t="s">
        <v>57</v>
      </c>
    </row>
    <row r="21" spans="1:19" hidden="1">
      <c r="A21" s="20" t="s">
        <v>70</v>
      </c>
      <c r="G21" s="20" t="s">
        <v>60</v>
      </c>
      <c r="J21" s="20" t="s">
        <v>71</v>
      </c>
    </row>
    <row r="22" spans="1:19" hidden="1">
      <c r="A22" s="20" t="s">
        <v>44</v>
      </c>
      <c r="B22" s="8" t="s">
        <v>45</v>
      </c>
      <c r="G22" s="20" t="s">
        <v>58</v>
      </c>
      <c r="H22" s="20">
        <v>0</v>
      </c>
      <c r="J22" s="20" t="s">
        <v>66</v>
      </c>
      <c r="K22" s="8">
        <v>310000</v>
      </c>
    </row>
    <row r="23" spans="1:19" hidden="1">
      <c r="A23" s="21" t="s">
        <v>42</v>
      </c>
      <c r="B23" s="21" t="s">
        <v>3</v>
      </c>
      <c r="C23" s="21" t="s">
        <v>2</v>
      </c>
      <c r="D23" s="21" t="s">
        <v>1</v>
      </c>
      <c r="E23" s="21" t="s">
        <v>0</v>
      </c>
      <c r="G23" s="20" t="s">
        <v>72</v>
      </c>
      <c r="H23" s="20">
        <v>10</v>
      </c>
      <c r="J23" s="20" t="s">
        <v>67</v>
      </c>
      <c r="K23" s="8">
        <v>570000</v>
      </c>
    </row>
    <row r="24" spans="1:19" hidden="1">
      <c r="A24" s="21" t="s">
        <v>4</v>
      </c>
      <c r="B24" s="8">
        <v>9.5</v>
      </c>
      <c r="C24" s="8">
        <v>34990</v>
      </c>
      <c r="D24" s="8">
        <v>33908</v>
      </c>
      <c r="E24" s="8">
        <v>660000</v>
      </c>
      <c r="G24" s="20" t="s">
        <v>73</v>
      </c>
      <c r="H24" s="19">
        <v>30</v>
      </c>
    </row>
    <row r="25" spans="1:19" hidden="1">
      <c r="A25" s="21" t="s">
        <v>5</v>
      </c>
      <c r="B25" s="8">
        <v>3.06</v>
      </c>
      <c r="C25" s="8">
        <v>11191</v>
      </c>
      <c r="D25" s="8">
        <v>10845</v>
      </c>
      <c r="E25" s="8">
        <v>260000</v>
      </c>
      <c r="G25" s="20" t="s">
        <v>74</v>
      </c>
      <c r="H25" s="19">
        <v>50</v>
      </c>
    </row>
    <row r="26" spans="1:19" hidden="1">
      <c r="A26" s="21" t="s">
        <v>6</v>
      </c>
      <c r="B26" s="8">
        <v>2.6</v>
      </c>
      <c r="C26" s="8">
        <v>18682</v>
      </c>
      <c r="D26" s="8">
        <v>0</v>
      </c>
      <c r="E26" s="8">
        <v>170000</v>
      </c>
      <c r="G26" s="20" t="s">
        <v>75</v>
      </c>
      <c r="H26" s="19">
        <v>70</v>
      </c>
    </row>
    <row r="27" spans="1:19" hidden="1">
      <c r="A27" s="21" t="s">
        <v>7</v>
      </c>
      <c r="B27" s="8">
        <v>0.28000000000000003</v>
      </c>
      <c r="C27" s="8">
        <v>1841</v>
      </c>
      <c r="D27" s="8">
        <v>0</v>
      </c>
      <c r="E27" s="8">
        <v>30000</v>
      </c>
      <c r="G27" s="20" t="s">
        <v>59</v>
      </c>
      <c r="H27" s="19">
        <v>80</v>
      </c>
    </row>
    <row r="28" spans="1:19" hidden="1"/>
    <row r="29" spans="1:19" hidden="1"/>
    <row r="30" spans="1:19" hidden="1">
      <c r="A30" s="21" t="s">
        <v>30</v>
      </c>
    </row>
    <row r="31" spans="1:19" hidden="1">
      <c r="A31" s="21" t="s">
        <v>43</v>
      </c>
      <c r="B31" s="21" t="s">
        <v>8</v>
      </c>
      <c r="C31" s="21" t="s">
        <v>9</v>
      </c>
      <c r="D31" s="21" t="s">
        <v>10</v>
      </c>
      <c r="E31" s="21" t="s">
        <v>11</v>
      </c>
      <c r="F31" s="21" t="s">
        <v>12</v>
      </c>
      <c r="G31" s="21" t="s">
        <v>46</v>
      </c>
      <c r="H31" s="21" t="s">
        <v>47</v>
      </c>
      <c r="I31" s="21" t="s">
        <v>18</v>
      </c>
      <c r="J31" s="21" t="s">
        <v>19</v>
      </c>
      <c r="K31" s="21" t="s">
        <v>20</v>
      </c>
      <c r="L31" s="21" t="s">
        <v>21</v>
      </c>
      <c r="M31" s="21" t="s">
        <v>22</v>
      </c>
      <c r="N31" s="21" t="s">
        <v>23</v>
      </c>
      <c r="O31" s="21" t="s">
        <v>24</v>
      </c>
      <c r="P31" s="21" t="s">
        <v>25</v>
      </c>
      <c r="S31" s="21"/>
    </row>
    <row r="32" spans="1:19" hidden="1">
      <c r="A32" s="20" t="s">
        <v>13</v>
      </c>
      <c r="B32" s="20">
        <f>_xlfn.XLOOKUP(C3, $G$22:$G$27, $H$22:$H$27, "")</f>
        <v>50</v>
      </c>
      <c r="C32" s="22">
        <f>IF(AND(D3&gt;=1900000,D3&lt;6600000),_xlfn.FLOOR.MATH(D3,4000),D3)</f>
        <v>3000000</v>
      </c>
      <c r="D32" s="22">
        <f>F3</f>
        <v>0</v>
      </c>
      <c r="E32" s="22">
        <f>H3</f>
        <v>0</v>
      </c>
      <c r="F32" s="20">
        <f>IF(B3="国保加入する",1,0)</f>
        <v>1</v>
      </c>
      <c r="G32" s="20">
        <f>MAX(0, C32 - IF(C32&lt;=650999, C32, IF(C32&lt;1900000, 650000, IF(C32&lt;3600000, C32*0.3+80000, IF(C32&lt;6600000, C32*0.2+440000, IF(C32&lt;8500000, C32*0.1+1100000, 1950000))))))</f>
        <v>2020000</v>
      </c>
      <c r="H32" s="20">
        <f>MAX(0, D32 - IF(B32&gt;=65, IF(D32&lt;1100000, D32, IF(D32&lt;3300000, 1100000, IF(D32&lt;4100000, D32*0.25+275000, IF(D32&lt;7700000, D32*0.15+685000, IF(D32&lt;10000000, D32*0.05+1455000, 1955000))))), IF(D32&lt;600000, D32, IF(D32&lt;1300000, 600000, IF(D32&lt;4100000, D32*0.25+275000, IF(D32&lt;7700000, D32*0.15+685000, IF(D32&lt;10000000, D32*0.05+1455000, 1955000)))))))</f>
        <v>0</v>
      </c>
      <c r="I32" s="20">
        <f>IF(AND(G32&gt;0, H32&gt;0), MAX(0, MIN(G32, 100000) + MIN(H32,100000) - 100000), 0)</f>
        <v>0</v>
      </c>
      <c r="J32" s="20">
        <f>IF(F32=1, MAX(0, G32 + H32 + E32 - I32 - 430000), 0)</f>
        <v>1590000</v>
      </c>
      <c r="K32" s="21">
        <f>MAX(0, G32 + H32 + E32 - I32 - IF(AND(B32&gt;=65, H32&gt;0), MIN(150000, H32), 0))</f>
        <v>2020000</v>
      </c>
      <c r="L32" s="20">
        <f>IF(OR(C32&gt;550000, AND(B32&gt;=65, D32&gt;1250000), AND(B32&lt;65,D32&gt;600000)), 1, 0)</f>
        <v>1</v>
      </c>
      <c r="M32" s="20">
        <f>IF(F32=1, 1, 0)</f>
        <v>1</v>
      </c>
      <c r="N32" s="20">
        <f>IF(AND(F32=1, B32&lt;=6), 1, 0)</f>
        <v>0</v>
      </c>
      <c r="O32" s="20">
        <f>IF(AND(F32=1, B32&gt;=19), 1, 0)</f>
        <v>1</v>
      </c>
      <c r="P32" s="20">
        <f>IF(AND(F32=1, B32&gt;=40,B32&lt;65), 1, 0)</f>
        <v>1</v>
      </c>
      <c r="R32" s="20" t="s">
        <v>26</v>
      </c>
      <c r="S32" s="20">
        <f>K32 + SUMIF(F33:F36, 1, K33:K36)</f>
        <v>2020000</v>
      </c>
    </row>
    <row r="33" spans="1:19" hidden="1">
      <c r="A33" s="20" t="s">
        <v>14</v>
      </c>
      <c r="B33" s="20">
        <f>_xlfn.XLOOKUP(C4, $G$22:$G$27, $H$22:$H$27, "")</f>
        <v>50</v>
      </c>
      <c r="C33" s="22">
        <f t="shared" ref="C33:C36" si="0">IF(AND(D4&gt;=1900000,D4&lt;6600000),_xlfn.FLOOR.MATH(D4,4000),D4)</f>
        <v>0</v>
      </c>
      <c r="D33" s="22">
        <f>F4</f>
        <v>0</v>
      </c>
      <c r="E33" s="22">
        <f>H4</f>
        <v>0</v>
      </c>
      <c r="F33" s="20">
        <f>IF(B4="国保加入する",1,0)</f>
        <v>1</v>
      </c>
      <c r="G33" s="20">
        <f t="shared" ref="G33:G36" si="1">MAX(0, C33 - IF(C33&lt;=650999, C33, IF(C33&lt;1900000, 650000, IF(C33&lt;3600000, C33*0.3+80000, IF(C33&lt;6600000, C33*0.2+440000, IF(C33&lt;8500000, C33*0.1+1100000, 1950000))))))</f>
        <v>0</v>
      </c>
      <c r="H33" s="20">
        <f t="shared" ref="H33:H36" si="2">MAX(0, D33 - IF(B33&gt;=65, IF(D33&lt;1100000, D33, IF(D33&lt;3300000, 1100000, IF(D33&lt;4100000, D33*0.25+275000, IF(D33&lt;7700000, D33*0.15+685000, IF(D33&lt;10000000, D33*0.05+1455000, 1955000))))), IF(D33&lt;600000, D33, IF(D33&lt;1300000, 600000, IF(D33&lt;4100000, D33*0.25+275000, IF(D33&lt;7700000, D33*0.15+685000, IF(D33&lt;10000000, D33*0.05+1455000, 1955000)))))))</f>
        <v>0</v>
      </c>
      <c r="I33" s="20">
        <f t="shared" ref="I33:I36" si="3">IF(AND(G33&gt;0, H33&gt;0), MAX(0, MIN(G33, 100000) + MIN(H33,100000) - 100000), 0)</f>
        <v>0</v>
      </c>
      <c r="J33" s="20">
        <f t="shared" ref="J33:J36" si="4">IF(F33=1, MAX(0, G33 + H33 + E33 - I33 - 430000), 0)</f>
        <v>0</v>
      </c>
      <c r="K33" s="21">
        <f t="shared" ref="K33:K36" si="5">MAX(0, G33 + H33 + E33 - I33 - IF(AND(B33&gt;=65, H33&gt;0), MIN(150000, H33), 0))</f>
        <v>0</v>
      </c>
      <c r="L33" s="20">
        <f t="shared" ref="L33:L36" si="6">IF(OR(C33&gt;550000, AND(B33&gt;=65, D33&gt;1250000), AND(B33&lt;65,D33&gt;600000)), 1, 0)</f>
        <v>0</v>
      </c>
      <c r="M33" s="20">
        <f t="shared" ref="M33:M36" si="7">IF(F33=1, 1, 0)</f>
        <v>1</v>
      </c>
      <c r="N33" s="20">
        <f t="shared" ref="N33:N36" si="8">IF(AND(F33=1, B33&lt;=6), 1, 0)</f>
        <v>0</v>
      </c>
      <c r="O33" s="20">
        <f t="shared" ref="O33:O36" si="9">IF(AND(F33=1, B33&gt;=19), 1, 0)</f>
        <v>1</v>
      </c>
      <c r="P33" s="20">
        <f t="shared" ref="P33:P36" si="10">IF(AND(F33=1, B33&gt;=40,B33&lt;65), 1, 0)</f>
        <v>1</v>
      </c>
      <c r="R33" s="20" t="s">
        <v>62</v>
      </c>
      <c r="S33" s="20">
        <f>SUM(M32:M36)</f>
        <v>3</v>
      </c>
    </row>
    <row r="34" spans="1:19" hidden="1">
      <c r="A34" s="20" t="s">
        <v>15</v>
      </c>
      <c r="B34" s="20">
        <f>_xlfn.XLOOKUP(C5, $G$22:$G$27, $H$22:$H$27, "")</f>
        <v>10</v>
      </c>
      <c r="C34" s="22">
        <f t="shared" si="0"/>
        <v>0</v>
      </c>
      <c r="D34" s="22">
        <f>F5</f>
        <v>0</v>
      </c>
      <c r="E34" s="22">
        <f>H5</f>
        <v>0</v>
      </c>
      <c r="F34" s="20">
        <f>IF(B5="国保加入する",1,0)</f>
        <v>1</v>
      </c>
      <c r="G34" s="20">
        <f t="shared" si="1"/>
        <v>0</v>
      </c>
      <c r="H34" s="20">
        <f t="shared" si="2"/>
        <v>0</v>
      </c>
      <c r="I34" s="20">
        <f t="shared" si="3"/>
        <v>0</v>
      </c>
      <c r="J34" s="20">
        <f t="shared" si="4"/>
        <v>0</v>
      </c>
      <c r="K34" s="21">
        <f t="shared" si="5"/>
        <v>0</v>
      </c>
      <c r="L34" s="20">
        <f t="shared" si="6"/>
        <v>0</v>
      </c>
      <c r="M34" s="20">
        <f t="shared" si="7"/>
        <v>1</v>
      </c>
      <c r="N34" s="20">
        <f t="shared" si="8"/>
        <v>0</v>
      </c>
      <c r="O34" s="20">
        <f t="shared" si="9"/>
        <v>0</v>
      </c>
      <c r="P34" s="20">
        <f t="shared" si="10"/>
        <v>0</v>
      </c>
      <c r="R34" s="20" t="s">
        <v>63</v>
      </c>
      <c r="S34" s="20">
        <f>L32 + SUMIF(F33:F36, 1, L33:L36)</f>
        <v>1</v>
      </c>
    </row>
    <row r="35" spans="1:19" hidden="1">
      <c r="A35" s="20" t="s">
        <v>16</v>
      </c>
      <c r="B35" s="20" t="str">
        <f>_xlfn.XLOOKUP(C6, $G$22:$G$27, $H$22:$H$27, "")</f>
        <v/>
      </c>
      <c r="C35" s="22">
        <f t="shared" si="0"/>
        <v>0</v>
      </c>
      <c r="D35" s="22">
        <f>F6</f>
        <v>0</v>
      </c>
      <c r="E35" s="22">
        <f>H6</f>
        <v>0</v>
      </c>
      <c r="F35" s="20">
        <f>IF(B6="国保加入する",1,0)</f>
        <v>0</v>
      </c>
      <c r="G35" s="20">
        <f t="shared" si="1"/>
        <v>0</v>
      </c>
      <c r="H35" s="20">
        <f t="shared" si="2"/>
        <v>0</v>
      </c>
      <c r="I35" s="20">
        <f t="shared" si="3"/>
        <v>0</v>
      </c>
      <c r="J35" s="20">
        <f t="shared" si="4"/>
        <v>0</v>
      </c>
      <c r="K35" s="21">
        <f t="shared" si="5"/>
        <v>0</v>
      </c>
      <c r="L35" s="20">
        <f t="shared" si="6"/>
        <v>0</v>
      </c>
      <c r="M35" s="20">
        <f t="shared" si="7"/>
        <v>0</v>
      </c>
      <c r="N35" s="20">
        <f t="shared" si="8"/>
        <v>0</v>
      </c>
      <c r="O35" s="20">
        <f t="shared" si="9"/>
        <v>0</v>
      </c>
      <c r="P35" s="20">
        <f t="shared" si="10"/>
        <v>0</v>
      </c>
      <c r="R35" s="20" t="s">
        <v>64</v>
      </c>
      <c r="S35" s="20">
        <f>IF(S32&lt;=430000, 0.7,IF(S32&lt;=430000 + K22*S33 + MAX(0, S34-1)*100000, 0.5,IF(S32&lt;=430000 + K23*S33 + MAX(0, S34-1)*100000, 0.2, 0)))</f>
        <v>0.2</v>
      </c>
    </row>
    <row r="36" spans="1:19" hidden="1">
      <c r="A36" s="20" t="s">
        <v>17</v>
      </c>
      <c r="B36" s="20" t="str">
        <f>_xlfn.XLOOKUP(C7, $G$22:$G$27, $H$22:$H$27, "")</f>
        <v/>
      </c>
      <c r="C36" s="22">
        <f t="shared" si="0"/>
        <v>0</v>
      </c>
      <c r="D36" s="22">
        <f>F7</f>
        <v>0</v>
      </c>
      <c r="E36" s="22">
        <f>H7</f>
        <v>0</v>
      </c>
      <c r="F36" s="20">
        <f>IF(B7="国保加入する",1,0)</f>
        <v>0</v>
      </c>
      <c r="G36" s="20">
        <f t="shared" si="1"/>
        <v>0</v>
      </c>
      <c r="H36" s="20">
        <f t="shared" si="2"/>
        <v>0</v>
      </c>
      <c r="I36" s="20">
        <f t="shared" si="3"/>
        <v>0</v>
      </c>
      <c r="J36" s="20">
        <f t="shared" si="4"/>
        <v>0</v>
      </c>
      <c r="K36" s="21">
        <f t="shared" si="5"/>
        <v>0</v>
      </c>
      <c r="L36" s="20">
        <f t="shared" si="6"/>
        <v>0</v>
      </c>
      <c r="M36" s="20">
        <f t="shared" si="7"/>
        <v>0</v>
      </c>
      <c r="N36" s="20">
        <f t="shared" si="8"/>
        <v>0</v>
      </c>
      <c r="O36" s="20">
        <f t="shared" si="9"/>
        <v>0</v>
      </c>
      <c r="P36" s="20">
        <f t="shared" si="10"/>
        <v>0</v>
      </c>
    </row>
    <row r="37" spans="1:19" hidden="1"/>
    <row r="38" spans="1:19" hidden="1"/>
    <row r="39" spans="1:19" hidden="1">
      <c r="A39" s="20" t="s">
        <v>32</v>
      </c>
    </row>
    <row r="40" spans="1:19" hidden="1">
      <c r="A40" s="20" t="s">
        <v>42</v>
      </c>
      <c r="B40" s="20" t="s">
        <v>31</v>
      </c>
      <c r="C40" s="20" t="s">
        <v>27</v>
      </c>
      <c r="D40" s="20" t="s">
        <v>28</v>
      </c>
      <c r="E40" s="20" t="s">
        <v>29</v>
      </c>
      <c r="F40" s="20" t="s">
        <v>65</v>
      </c>
    </row>
    <row r="41" spans="1:19" hidden="1">
      <c r="A41" s="21" t="s">
        <v>4</v>
      </c>
      <c r="B41" s="20">
        <f>MIN(E24, ROUNDDOWN(SUM(J32:J36)*B24/100,0) + ROUNDDOWN(((S33-SUM(N32:N36))*C24*(1-S35)) + (SUM(N32:N36)*C24*(1-S35)*0.5),0) + ROUNDDOWN(D24*(1-S35), 0))</f>
        <v>262152</v>
      </c>
      <c r="C41" s="20">
        <f>ROUNDDOWN(SUM(J32:J36)*B24/100,0)</f>
        <v>151050</v>
      </c>
      <c r="D41" s="20">
        <f>ROUNDDOWN(((S33-SUM(N32:N36))*C24*(1-S35)) + (SUM(N32:N36)*C24*(1-S35)*0.5),0)</f>
        <v>83976</v>
      </c>
      <c r="E41" s="20">
        <f>ROUNDDOWN(D24*(1-S35), 0)</f>
        <v>27126</v>
      </c>
      <c r="F41" s="20">
        <f>MAX(0,SUM(C41:E41)-E24)</f>
        <v>0</v>
      </c>
    </row>
    <row r="42" spans="1:19" hidden="1">
      <c r="A42" s="21" t="s">
        <v>5</v>
      </c>
      <c r="B42" s="20">
        <f>MIN(E25, ROUNDDOWN(SUM(J32:J36)*B25/100,0) + ROUNDDOWN(((S33-SUM(N32:N36))*C25*(1-S35)) + (SUM(N32:N36)*C25*(1-S35)*0.5),0) + ROUNDDOWN(D25*(1-S35), 0))</f>
        <v>84188</v>
      </c>
      <c r="C42" s="20">
        <f>ROUNDDOWN(SUM(J32:J36)*B25/100,0)</f>
        <v>48654</v>
      </c>
      <c r="D42" s="20">
        <f>ROUNDDOWN(((S33-SUM(N32:N36))*C25*(1-S35)) + (SUM(N32:N36)*C25*(1-S35)*0.5),0)</f>
        <v>26858</v>
      </c>
      <c r="E42" s="20">
        <f>ROUNDDOWN(D25*(1-S35), 0)</f>
        <v>8676</v>
      </c>
      <c r="F42" s="20">
        <f>MAX(0,SUM(C42:E42)-E25)</f>
        <v>0</v>
      </c>
    </row>
    <row r="43" spans="1:19" hidden="1">
      <c r="A43" s="21" t="s">
        <v>6</v>
      </c>
      <c r="B43" s="20">
        <f>MIN(E26, ROUNDDOWN(SUMIF(P32:P36, 1, J32:J36)*B26/100,0) + ROUNDDOWN(SUM(P32:P36)*C26*(1-S35), 0) + ROUNDDOWN(IF(SUM(P32:P36)&gt;0, D26*(1-S35), 0), 0))</f>
        <v>71231</v>
      </c>
      <c r="C43" s="20">
        <f>ROUNDDOWN(SUMIF(P32:P36, 1, J32:J36)*B26/100,0)</f>
        <v>41340</v>
      </c>
      <c r="D43" s="20">
        <f>ROUNDDOWN(SUM(P32:P36)*C26*(1-S35), 0)</f>
        <v>29891</v>
      </c>
      <c r="E43" s="20">
        <f>ROUNDDOWN(IF(SUM(P32:P36)&gt;0,D26*(1-S35),0),0)</f>
        <v>0</v>
      </c>
      <c r="F43" s="20">
        <f>MAX(0,SUM(C43:E43)-E26)</f>
        <v>0</v>
      </c>
    </row>
    <row r="44" spans="1:19" hidden="1">
      <c r="A44" s="21" t="s">
        <v>7</v>
      </c>
      <c r="B44" s="20">
        <f>MIN(E27, ROUNDDOWN(SUM(J32:J36)*B27/100,0) + ROUNDDOWN(SUM(O32:O36)*C27*(1-S35), 0) + ROUNDDOWN(IF(S33&gt;0, D27*(1-S35), 0),0))</f>
        <v>7397</v>
      </c>
      <c r="C44" s="20">
        <f>ROUNDDOWN(SUM(J32:J36)*B27/100,0)</f>
        <v>4452</v>
      </c>
      <c r="D44" s="20">
        <f>ROUNDDOWN(SUM(O32:O36)*C27*(1-S35), 0)</f>
        <v>2945</v>
      </c>
      <c r="E44" s="20">
        <f>ROUNDDOWN(IF(S33&gt;0, D27*(1-S35), 0),0)</f>
        <v>0</v>
      </c>
      <c r="F44" s="20">
        <f>MAX(0,SUM(C44:E44)-E27)</f>
        <v>0</v>
      </c>
    </row>
  </sheetData>
  <sheetProtection algorithmName="SHA-512" hashValue="7907LBgxNp3HE7UHVDbuCeCr2fliDhXyikw9rxIt61Gc8BSO+xd4Dy0YYrnMQUjtMxfky5xW33NnYXpAElK40w==" saltValue="vrqHQj/YQceYlib+tLCw/Q==" spinCount="100000" sheet="1"/>
  <mergeCells count="2">
    <mergeCell ref="A1:H1"/>
    <mergeCell ref="C16:F16"/>
  </mergeCells>
  <phoneticPr fontId="1"/>
  <dataValidations count="3">
    <dataValidation type="list" allowBlank="1" showInputMessage="1" showErrorMessage="1" sqref="B3:B7" xr:uid="{33C501F3-C495-4486-A958-D5BF93B76850}">
      <formula1>"国保加入する,国保加入しない"</formula1>
    </dataValidation>
    <dataValidation type="list" allowBlank="1" showInputMessage="1" showErrorMessage="1" sqref="C3" xr:uid="{7F7E65BA-0C7C-444D-B299-86CBAD6AE4A7}">
      <formula1>IF(B3="国保加入する",$G$22:$G$26,$G$22:$G$27)</formula1>
    </dataValidation>
    <dataValidation type="list" allowBlank="1" showInputMessage="1" showErrorMessage="1" sqref="C4:C7" xr:uid="{520819C9-B3B9-470D-8308-D5A19E320707}">
      <formula1>IF(B4="国保加入する",$G$22:$G$26,$Z$1)</formula1>
    </dataValidation>
  </dataValidations>
  <pageMargins left="0.7" right="0.7" top="0.75" bottom="0.75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565F-B5F6-4229-B3B8-C3DBCFA891D2}">
  <dimension ref="A1:H26"/>
  <sheetViews>
    <sheetView zoomScale="80" zoomScaleNormal="80" workbookViewId="0">
      <selection activeCell="C15" sqref="C15"/>
    </sheetView>
  </sheetViews>
  <sheetFormatPr defaultRowHeight="18.75"/>
  <cols>
    <col min="1" max="1" width="15.125" bestFit="1" customWidth="1"/>
    <col min="2" max="2" width="15.375" bestFit="1" customWidth="1"/>
    <col min="3" max="3" width="20.5" bestFit="1" customWidth="1"/>
    <col min="4" max="8" width="20.5" customWidth="1"/>
  </cols>
  <sheetData>
    <row r="1" spans="1:8">
      <c r="A1" s="41" t="s">
        <v>78</v>
      </c>
      <c r="B1" s="41"/>
      <c r="C1" s="41"/>
      <c r="D1" s="41"/>
      <c r="E1" s="41"/>
      <c r="F1" s="41"/>
      <c r="G1" s="41"/>
      <c r="H1" s="41"/>
    </row>
    <row r="2" spans="1:8" ht="19.5" thickBot="1">
      <c r="A2" s="25"/>
      <c r="B2" s="26" t="s">
        <v>33</v>
      </c>
      <c r="C2" s="26" t="s">
        <v>69</v>
      </c>
      <c r="D2" s="26" t="s">
        <v>34</v>
      </c>
      <c r="E2" s="27" t="str">
        <f>IF(SUM(E42:E47)&gt;0,"給与所得(調整控除後)","給与所得")</f>
        <v>給与所得</v>
      </c>
      <c r="F2" s="26" t="s">
        <v>35</v>
      </c>
      <c r="G2" s="26" t="s">
        <v>36</v>
      </c>
      <c r="H2" s="27" t="s">
        <v>68</v>
      </c>
    </row>
    <row r="3" spans="1:8" ht="19.5" thickBot="1">
      <c r="A3" s="28" t="s">
        <v>37</v>
      </c>
      <c r="B3" s="29" t="s">
        <v>61</v>
      </c>
      <c r="C3" s="29" t="s">
        <v>74</v>
      </c>
      <c r="D3" s="30">
        <v>3000000</v>
      </c>
      <c r="E3" s="31">
        <v>2020000</v>
      </c>
      <c r="F3" s="30"/>
      <c r="G3" s="31" t="str">
        <f>IF(F3="","",H41)</f>
        <v/>
      </c>
      <c r="H3" s="32"/>
    </row>
    <row r="4" spans="1:8">
      <c r="A4" s="33" t="s">
        <v>38</v>
      </c>
      <c r="B4" s="34" t="s">
        <v>61</v>
      </c>
      <c r="C4" s="34" t="s">
        <v>74</v>
      </c>
      <c r="D4" s="35"/>
      <c r="E4" s="36" t="str">
        <f>IF(D4="","",G42-I42)</f>
        <v/>
      </c>
      <c r="F4" s="35"/>
      <c r="G4" s="36" t="str">
        <f>IF(F4="","",H42)</f>
        <v/>
      </c>
      <c r="H4" s="35"/>
    </row>
    <row r="5" spans="1:8">
      <c r="A5" s="3" t="s">
        <v>39</v>
      </c>
      <c r="B5" s="5" t="s">
        <v>61</v>
      </c>
      <c r="C5" s="5" t="s">
        <v>72</v>
      </c>
      <c r="D5" s="6"/>
      <c r="E5" s="7" t="str">
        <f>IF(D5="","",G43-I43)</f>
        <v/>
      </c>
      <c r="F5" s="6"/>
      <c r="G5" s="7" t="str">
        <f>IF(F5="","",H43)</f>
        <v/>
      </c>
      <c r="H5" s="6"/>
    </row>
    <row r="6" spans="1:8">
      <c r="A6" s="3" t="s">
        <v>40</v>
      </c>
      <c r="B6" s="5"/>
      <c r="C6" s="5"/>
      <c r="D6" s="6"/>
      <c r="E6" s="7" t="str">
        <f>IF(D6="","",G44-I44)</f>
        <v/>
      </c>
      <c r="F6" s="6"/>
      <c r="G6" s="7" t="str">
        <f>IF(F6="","",H44)</f>
        <v/>
      </c>
      <c r="H6" s="6"/>
    </row>
    <row r="7" spans="1:8">
      <c r="A7" s="3" t="s">
        <v>41</v>
      </c>
      <c r="B7" s="5"/>
      <c r="C7" s="5"/>
      <c r="D7" s="6"/>
      <c r="E7" s="7" t="str">
        <f>IF(D7="","",G45-I45)</f>
        <v/>
      </c>
      <c r="F7" s="6"/>
      <c r="G7" s="7" t="str">
        <f>IF(F7="","",H45)</f>
        <v/>
      </c>
      <c r="H7" s="6"/>
    </row>
    <row r="8" spans="1:8">
      <c r="A8" s="9"/>
      <c r="B8" s="9" t="s">
        <v>76</v>
      </c>
      <c r="C8" s="9"/>
      <c r="D8" s="1"/>
      <c r="E8" s="1"/>
      <c r="F8" s="1"/>
      <c r="G8" s="1"/>
      <c r="H8" s="10"/>
    </row>
    <row r="19" spans="2:6">
      <c r="B19" s="11"/>
      <c r="C19" s="12" t="s">
        <v>48</v>
      </c>
      <c r="D19" s="12" t="s">
        <v>77</v>
      </c>
      <c r="E19" s="12" t="s">
        <v>49</v>
      </c>
      <c r="F19" s="12" t="s">
        <v>50</v>
      </c>
    </row>
    <row r="20" spans="2:6">
      <c r="B20" s="12" t="s">
        <v>51</v>
      </c>
      <c r="C20" s="7">
        <v>151050</v>
      </c>
      <c r="D20" s="7">
        <v>48654</v>
      </c>
      <c r="E20" s="7">
        <v>41340</v>
      </c>
      <c r="F20" s="7">
        <v>4452</v>
      </c>
    </row>
    <row r="21" spans="2:6">
      <c r="B21" s="12" t="s">
        <v>52</v>
      </c>
      <c r="C21" s="7">
        <v>83976</v>
      </c>
      <c r="D21" s="7">
        <v>26858</v>
      </c>
      <c r="E21" s="7">
        <v>29891</v>
      </c>
      <c r="F21" s="7">
        <v>2945</v>
      </c>
    </row>
    <row r="22" spans="2:6">
      <c r="B22" s="12" t="s">
        <v>53</v>
      </c>
      <c r="C22" s="7">
        <v>27126</v>
      </c>
      <c r="D22" s="7">
        <v>8676</v>
      </c>
      <c r="E22" s="13"/>
      <c r="F22" s="13"/>
    </row>
    <row r="23" spans="2:6" ht="19.5" thickBot="1">
      <c r="B23" s="14" t="s">
        <v>54</v>
      </c>
      <c r="C23" s="15">
        <v>0</v>
      </c>
      <c r="D23" s="15">
        <v>0</v>
      </c>
      <c r="E23" s="15">
        <v>0</v>
      </c>
      <c r="F23" s="15">
        <v>0</v>
      </c>
    </row>
    <row r="24" spans="2:6" ht="20.25" thickTop="1" thickBot="1">
      <c r="B24" s="16" t="s">
        <v>55</v>
      </c>
      <c r="C24" s="17">
        <v>262152</v>
      </c>
      <c r="D24" s="17">
        <v>84188</v>
      </c>
      <c r="E24" s="17">
        <v>71231</v>
      </c>
      <c r="F24" s="17">
        <v>7397</v>
      </c>
    </row>
    <row r="25" spans="2:6" ht="20.25" thickTop="1" thickBot="1">
      <c r="B25" s="18" t="s">
        <v>56</v>
      </c>
      <c r="C25" s="38">
        <f>SUM(C24:F24)</f>
        <v>424968</v>
      </c>
      <c r="D25" s="39"/>
      <c r="E25" s="39"/>
      <c r="F25" s="40"/>
    </row>
    <row r="26" spans="2:6" ht="19.5" thickTop="1"/>
  </sheetData>
  <sheetProtection algorithmName="SHA-512" hashValue="En4zMxmpjHBEDDGrrhFslBfvqZX+DhuS1/E07ktpMu0zb2PdqzkB+9UHHca2Di2ADI8T/TMrk8tEg7LCMn5Z9A==" saltValue="vPUCMbopetqpT5IW6kfy+w==" spinCount="100000" sheet="1" objects="1" scenarios="1"/>
  <mergeCells count="2">
    <mergeCell ref="A1:H1"/>
    <mergeCell ref="C25:F25"/>
  </mergeCells>
  <phoneticPr fontId="1"/>
  <dataValidations count="4">
    <dataValidation type="list" allowBlank="1" showInputMessage="1" showErrorMessage="1" sqref="C5" xr:uid="{9AAB8692-F6C3-408D-8A8C-0D1E21D68017}">
      <formula1>IF(B5="国保加入する",$G$22:$G$26,$Z$1)</formula1>
    </dataValidation>
    <dataValidation type="list" allowBlank="1" showInputMessage="1" showErrorMessage="1" sqref="B3:B7" xr:uid="{963A3498-403A-44F0-8995-7C3FD39AF803}">
      <formula1>"国保加入する,国保加入しない"</formula1>
    </dataValidation>
    <dataValidation type="list" allowBlank="1" showInputMessage="1" showErrorMessage="1" sqref="C3" xr:uid="{862EB7DA-D855-464C-98D9-6626A25164E4}">
      <formula1>IF(B3="国保加入する",$G$31:$G$35,$G$31:$G$36)</formula1>
    </dataValidation>
    <dataValidation type="list" allowBlank="1" showInputMessage="1" showErrorMessage="1" sqref="C4 C6:C7" xr:uid="{843B2628-AE89-4715-9964-84BD11BC0C4B}">
      <formula1>IF(B4="国保加入する",$G$31:$G$35,$Z$1)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試算シート</vt:lpstr>
      <vt:lpstr>入力の説明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</cp:lastModifiedBy>
  <cp:lastPrinted>2026-02-24T11:58:32Z</cp:lastPrinted>
  <dcterms:created xsi:type="dcterms:W3CDTF">2015-06-05T18:19:34Z</dcterms:created>
  <dcterms:modified xsi:type="dcterms:W3CDTF">2026-03-10T08:10:02Z</dcterms:modified>
</cp:coreProperties>
</file>