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国民健康保険課\60_保険係\010_年次業務\210_保険料試算シート（区役所用・ホームページ公開用共通）\"/>
    </mc:Choice>
  </mc:AlternateContent>
  <xr:revisionPtr revIDLastSave="0" documentId="13_ncr:1_{17B2CA5E-C716-464E-BA4A-712DB55D00A4}" xr6:coauthVersionLast="47" xr6:coauthVersionMax="47" xr10:uidLastSave="{00000000-0000-0000-0000-000000000000}"/>
  <workbookProtection workbookAlgorithmName="SHA-512" workbookHashValue="BbGfo+iL3RxyEKUhuwGtfbljOm+W64zW8e2wtLt/zrL69PxsnnjtHbcUgIJtvMXBdLRPYn8ZzyybuTRNvqcDTg==" workbookSaltValue="YsXi5B/bM4HFIyq6Cmg9dw==" workbookSpinCount="100000" lockStructure="1"/>
  <bookViews>
    <workbookView xWindow="-120" yWindow="-120" windowWidth="20730" windowHeight="11040" xr2:uid="{00000000-000D-0000-FFFF-FFFF00000000}"/>
  </bookViews>
  <sheets>
    <sheet name="試算シート" sheetId="7" r:id="rId1"/>
    <sheet name="計算" sheetId="4" state="hidden" r:id="rId2"/>
    <sheet name="印刷" sheetId="3" state="hidden" r:id="rId3"/>
    <sheet name="入力の説明" sheetId="8" r:id="rId4"/>
  </sheets>
  <definedNames>
    <definedName name="_xlnm.Print_Area" localSheetId="2">印刷!$A$1:$E$23</definedName>
    <definedName name="_xlnm.Print_Area" localSheetId="1">計算!$A$1:$N$29</definedName>
    <definedName name="_xlnm.Print_Area" localSheetId="0">試算シート!$A$1:$H$17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8" l="1"/>
  <c r="E20" i="8"/>
  <c r="C20" i="8"/>
  <c r="C21" i="8" l="1"/>
  <c r="M33" i="4"/>
  <c r="D2" i="3" l="1"/>
  <c r="AB48" i="4" l="1"/>
  <c r="AA48" i="4"/>
  <c r="Z48" i="4"/>
  <c r="O44" i="4" l="1"/>
  <c r="O43" i="4"/>
  <c r="O41" i="4"/>
  <c r="J4" i="7" l="1"/>
  <c r="I1" i="7" l="1"/>
  <c r="A1" i="7" l="1"/>
  <c r="B4" i="3"/>
  <c r="G51" i="7" l="1"/>
  <c r="Y24" i="4" s="1"/>
  <c r="C21" i="7"/>
  <c r="C22" i="7"/>
  <c r="C23" i="7"/>
  <c r="C24" i="7"/>
  <c r="C25" i="7"/>
  <c r="C20" i="7"/>
  <c r="U25" i="7" l="1"/>
  <c r="U24" i="7"/>
  <c r="U23" i="7"/>
  <c r="U21" i="7"/>
  <c r="C38" i="7"/>
  <c r="J42" i="4" l="1"/>
  <c r="M36" i="4"/>
  <c r="P39" i="7" l="1"/>
  <c r="U39" i="7"/>
  <c r="U38" i="7"/>
  <c r="U37" i="7"/>
  <c r="U36" i="7"/>
  <c r="U35" i="7"/>
  <c r="U34" i="7"/>
  <c r="U33" i="7"/>
  <c r="U32" i="7"/>
  <c r="U31" i="7"/>
  <c r="T39" i="7"/>
  <c r="T38" i="7"/>
  <c r="T37" i="7"/>
  <c r="T36" i="7"/>
  <c r="T35" i="7"/>
  <c r="T34" i="7"/>
  <c r="T33" i="7"/>
  <c r="T32" i="7"/>
  <c r="T31" i="7"/>
  <c r="S39" i="7"/>
  <c r="S38" i="7"/>
  <c r="S37" i="7"/>
  <c r="S36" i="7"/>
  <c r="S35" i="7"/>
  <c r="S34" i="7"/>
  <c r="S33" i="7"/>
  <c r="S32" i="7"/>
  <c r="S31" i="7"/>
  <c r="R39" i="7" l="1"/>
  <c r="R38" i="7"/>
  <c r="R37" i="7"/>
  <c r="R36" i="7"/>
  <c r="R35" i="7"/>
  <c r="R34" i="7"/>
  <c r="R33" i="7"/>
  <c r="R32" i="7"/>
  <c r="R31" i="7"/>
  <c r="Q39" i="7"/>
  <c r="Q38" i="7"/>
  <c r="Q37" i="7"/>
  <c r="Q36" i="7"/>
  <c r="Q35" i="7"/>
  <c r="Q34" i="7"/>
  <c r="Q33" i="7"/>
  <c r="Q32" i="7"/>
  <c r="Q31" i="7"/>
  <c r="P38" i="7"/>
  <c r="P37" i="7"/>
  <c r="P36" i="7"/>
  <c r="P35" i="7"/>
  <c r="P34" i="7"/>
  <c r="P33" i="7"/>
  <c r="P32" i="7"/>
  <c r="P31" i="7"/>
  <c r="U30" i="7" l="1"/>
  <c r="U40" i="7" s="1"/>
  <c r="D25" i="7" s="1"/>
  <c r="G25" i="7" s="1"/>
  <c r="T30" i="7"/>
  <c r="T40" i="7" s="1"/>
  <c r="D24" i="7" s="1"/>
  <c r="S30" i="7"/>
  <c r="S40" i="7" s="1"/>
  <c r="D23" i="7" s="1"/>
  <c r="R30" i="7"/>
  <c r="R40" i="7" s="1"/>
  <c r="D22" i="7" s="1"/>
  <c r="G22" i="7" s="1"/>
  <c r="Q30" i="7"/>
  <c r="Q40" i="7" s="1"/>
  <c r="D21" i="7" s="1"/>
  <c r="P30" i="7"/>
  <c r="P40" i="7" s="1"/>
  <c r="D20" i="7" s="1"/>
  <c r="Y54" i="7" l="1"/>
  <c r="Y52" i="7"/>
  <c r="Y46" i="7"/>
  <c r="Y51" i="7"/>
  <c r="Y48" i="7"/>
  <c r="Y47" i="7"/>
  <c r="Y55" i="7"/>
  <c r="Y45" i="7"/>
  <c r="Y53" i="7"/>
  <c r="Y44" i="7"/>
  <c r="AB51" i="7"/>
  <c r="AB48" i="7"/>
  <c r="AB47" i="7"/>
  <c r="AB53" i="7"/>
  <c r="AB45" i="7"/>
  <c r="AB55" i="7"/>
  <c r="AB44" i="7"/>
  <c r="AB46" i="7"/>
  <c r="AB54" i="7"/>
  <c r="AB52" i="7"/>
  <c r="G23" i="7"/>
  <c r="G20" i="7"/>
  <c r="G24" i="7"/>
  <c r="G21" i="7"/>
  <c r="AA54" i="7" l="1"/>
  <c r="AA51" i="7"/>
  <c r="AA47" i="7"/>
  <c r="AA45" i="7"/>
  <c r="AA53" i="7"/>
  <c r="AA52" i="7"/>
  <c r="AA55" i="7"/>
  <c r="AA48" i="7"/>
  <c r="AA46" i="7"/>
  <c r="AA44" i="7"/>
  <c r="Z48" i="7"/>
  <c r="Z45" i="7"/>
  <c r="Z51" i="7"/>
  <c r="Z46" i="7"/>
  <c r="Z47" i="7"/>
  <c r="Z44" i="7"/>
  <c r="Z55" i="7"/>
  <c r="Z52" i="7"/>
  <c r="Z54" i="7"/>
  <c r="Z53" i="7"/>
  <c r="W52" i="7"/>
  <c r="W45" i="7"/>
  <c r="W51" i="7"/>
  <c r="W44" i="7"/>
  <c r="W55" i="7"/>
  <c r="W48" i="7"/>
  <c r="W46" i="7"/>
  <c r="W54" i="7"/>
  <c r="W47" i="7"/>
  <c r="W53" i="7"/>
  <c r="X53" i="7"/>
  <c r="X47" i="7"/>
  <c r="X44" i="7"/>
  <c r="X48" i="7"/>
  <c r="X52" i="7"/>
  <c r="X45" i="7"/>
  <c r="X46" i="7"/>
  <c r="X54" i="7"/>
  <c r="X55" i="7"/>
  <c r="X51" i="7"/>
  <c r="J25" i="7"/>
  <c r="O25" i="7" l="1"/>
  <c r="J23" i="7"/>
  <c r="U55" i="7" l="1"/>
  <c r="U48" i="7"/>
  <c r="U54" i="7"/>
  <c r="U53" i="7"/>
  <c r="U52" i="7"/>
  <c r="U51" i="7"/>
  <c r="U47" i="7"/>
  <c r="U45" i="7"/>
  <c r="U46" i="7"/>
  <c r="U44" i="7"/>
  <c r="O23" i="7"/>
  <c r="J24" i="7"/>
  <c r="J21" i="7"/>
  <c r="J22" i="7"/>
  <c r="S55" i="7" l="1"/>
  <c r="S53" i="7"/>
  <c r="S47" i="7"/>
  <c r="S52" i="7"/>
  <c r="S48" i="7"/>
  <c r="S51" i="7"/>
  <c r="S46" i="7"/>
  <c r="S45" i="7"/>
  <c r="S44" i="7"/>
  <c r="S54" i="7"/>
  <c r="U56" i="7"/>
  <c r="AB49" i="7"/>
  <c r="U49" i="7"/>
  <c r="AB56" i="7"/>
  <c r="O24" i="7"/>
  <c r="O21" i="7"/>
  <c r="O22" i="7"/>
  <c r="J20" i="7"/>
  <c r="U22" i="7"/>
  <c r="B25" i="7"/>
  <c r="B24" i="7"/>
  <c r="B23" i="7"/>
  <c r="B22" i="7"/>
  <c r="B21" i="7"/>
  <c r="B20" i="7"/>
  <c r="T46" i="7" l="1"/>
  <c r="T44" i="7"/>
  <c r="T51" i="7"/>
  <c r="T52" i="7"/>
  <c r="T53" i="7"/>
  <c r="T47" i="7"/>
  <c r="T55" i="7"/>
  <c r="T54" i="7"/>
  <c r="T48" i="7"/>
  <c r="T45" i="7"/>
  <c r="R54" i="7"/>
  <c r="R47" i="7"/>
  <c r="R51" i="7"/>
  <c r="R48" i="7"/>
  <c r="R53" i="7"/>
  <c r="R46" i="7"/>
  <c r="R52" i="7"/>
  <c r="R45" i="7"/>
  <c r="R55" i="7"/>
  <c r="R44" i="7"/>
  <c r="Q52" i="7"/>
  <c r="Q46" i="7"/>
  <c r="Q44" i="7"/>
  <c r="Q53" i="7"/>
  <c r="Q47" i="7"/>
  <c r="Q55" i="7"/>
  <c r="Q51" i="7"/>
  <c r="Q45" i="7"/>
  <c r="Q54" i="7"/>
  <c r="Q48" i="7"/>
  <c r="C39" i="7"/>
  <c r="C42" i="7"/>
  <c r="L25" i="7"/>
  <c r="N25" i="7" s="1"/>
  <c r="F25" i="7"/>
  <c r="U20" i="7"/>
  <c r="C37" i="7"/>
  <c r="C41" i="7"/>
  <c r="C40" i="7"/>
  <c r="Z56" i="7"/>
  <c r="S56" i="7"/>
  <c r="S49" i="7"/>
  <c r="L23" i="7" s="1"/>
  <c r="N23" i="7" s="1"/>
  <c r="Z49" i="7"/>
  <c r="F23" i="7" s="1"/>
  <c r="O20" i="7"/>
  <c r="V24" i="7"/>
  <c r="V22" i="7"/>
  <c r="V25" i="7"/>
  <c r="I8" i="7" s="1"/>
  <c r="V23" i="7"/>
  <c r="V21" i="7"/>
  <c r="V20" i="7"/>
  <c r="Y49" i="7" l="1"/>
  <c r="F22" i="7" s="1"/>
  <c r="P55" i="7"/>
  <c r="P45" i="7"/>
  <c r="P54" i="7"/>
  <c r="P48" i="7"/>
  <c r="P44" i="7"/>
  <c r="P52" i="7"/>
  <c r="P47" i="7"/>
  <c r="P51" i="7"/>
  <c r="P46" i="7"/>
  <c r="P53" i="7"/>
  <c r="K25" i="7"/>
  <c r="P25" i="7" s="1"/>
  <c r="Q25" i="7" s="1"/>
  <c r="S25" i="7" s="1"/>
  <c r="I4" i="7"/>
  <c r="I7" i="7"/>
  <c r="G32" i="7"/>
  <c r="H32" i="7"/>
  <c r="I32" i="7"/>
  <c r="I5" i="7"/>
  <c r="I30" i="7"/>
  <c r="H30" i="7"/>
  <c r="L37" i="4"/>
  <c r="I6" i="7"/>
  <c r="K23" i="7"/>
  <c r="R23" i="7" s="1"/>
  <c r="I31" i="7"/>
  <c r="I3" i="7"/>
  <c r="AA56" i="7"/>
  <c r="T56" i="7"/>
  <c r="G6" i="7"/>
  <c r="E23" i="7"/>
  <c r="X56" i="7"/>
  <c r="Q56" i="7"/>
  <c r="T49" i="7"/>
  <c r="L24" i="7" s="1"/>
  <c r="N24" i="7" s="1"/>
  <c r="AA49" i="7"/>
  <c r="F24" i="7" s="1"/>
  <c r="Q49" i="7"/>
  <c r="X49" i="7"/>
  <c r="F21" i="7" s="1"/>
  <c r="G8" i="7"/>
  <c r="E25" i="7"/>
  <c r="R56" i="7"/>
  <c r="R49" i="7"/>
  <c r="L22" i="7" s="1"/>
  <c r="N22" i="7" s="1"/>
  <c r="Y56" i="7"/>
  <c r="P24" i="4"/>
  <c r="K15" i="4" s="1"/>
  <c r="L21" i="7" l="1"/>
  <c r="N21" i="7" s="1"/>
  <c r="I29" i="7"/>
  <c r="T25" i="7"/>
  <c r="R25" i="7"/>
  <c r="E21" i="7"/>
  <c r="H31" i="7"/>
  <c r="T23" i="7"/>
  <c r="F31" i="7" s="1"/>
  <c r="G31" i="7"/>
  <c r="P23" i="7"/>
  <c r="Q23" i="7" s="1"/>
  <c r="S23" i="7" s="1"/>
  <c r="H40" i="7" s="1"/>
  <c r="R8" i="4" s="1"/>
  <c r="K21" i="7"/>
  <c r="K24" i="7"/>
  <c r="E9" i="4"/>
  <c r="F9" i="4" s="1"/>
  <c r="G7" i="7"/>
  <c r="E24" i="7"/>
  <c r="W56" i="7"/>
  <c r="P56" i="7"/>
  <c r="P49" i="7"/>
  <c r="W49" i="7"/>
  <c r="E8" i="4"/>
  <c r="F8" i="4" s="1"/>
  <c r="T24" i="7" l="1"/>
  <c r="F32" i="7" s="1"/>
  <c r="R24" i="7"/>
  <c r="AA8" i="4"/>
  <c r="W8" i="4"/>
  <c r="T21" i="7"/>
  <c r="H29" i="7" s="1"/>
  <c r="R21" i="7"/>
  <c r="L20" i="7"/>
  <c r="F20" i="7"/>
  <c r="E20" i="7" s="1"/>
  <c r="K22" i="7"/>
  <c r="P22" i="7" s="1"/>
  <c r="Q22" i="7" s="1"/>
  <c r="S22" i="7" s="1"/>
  <c r="P21" i="7"/>
  <c r="Q21" i="7" s="1"/>
  <c r="S21" i="7" s="1"/>
  <c r="P24" i="7"/>
  <c r="Q24" i="7" s="1"/>
  <c r="S24" i="7" s="1"/>
  <c r="H41" i="7" s="1"/>
  <c r="R9" i="4" s="1"/>
  <c r="G5" i="7"/>
  <c r="E22" i="7"/>
  <c r="G29" i="7" l="1"/>
  <c r="F29" i="7"/>
  <c r="W9" i="4"/>
  <c r="AA9" i="4"/>
  <c r="N20" i="7"/>
  <c r="F34" i="7"/>
  <c r="T22" i="7"/>
  <c r="R22" i="7"/>
  <c r="K42" i="4"/>
  <c r="J46" i="4" s="1"/>
  <c r="E2" i="7"/>
  <c r="K20" i="7"/>
  <c r="T20" i="7" s="1"/>
  <c r="I28" i="7"/>
  <c r="E7" i="7"/>
  <c r="E8" i="7"/>
  <c r="E5" i="7"/>
  <c r="E4" i="7"/>
  <c r="O37" i="4"/>
  <c r="F30" i="7" l="1"/>
  <c r="G30" i="7"/>
  <c r="F28" i="7"/>
  <c r="B5" i="4" s="1"/>
  <c r="U14" i="4" s="1"/>
  <c r="F33" i="7"/>
  <c r="H28" i="7"/>
  <c r="G28" i="7"/>
  <c r="C5" i="4" s="1"/>
  <c r="P20" i="7"/>
  <c r="Q20" i="7" s="1"/>
  <c r="S20" i="7" s="1"/>
  <c r="F37" i="7" s="1"/>
  <c r="P5" i="4" s="1"/>
  <c r="M23" i="7"/>
  <c r="M25" i="7"/>
  <c r="M24" i="7"/>
  <c r="M22" i="7"/>
  <c r="G4" i="7"/>
  <c r="M21" i="7"/>
  <c r="D6" i="4"/>
  <c r="B9" i="4"/>
  <c r="U18" i="4" s="1"/>
  <c r="E3" i="7"/>
  <c r="B7" i="4"/>
  <c r="Y16" i="4" s="1"/>
  <c r="Y14" i="4" l="1"/>
  <c r="Y5" i="4"/>
  <c r="U5" i="4"/>
  <c r="D8" i="4"/>
  <c r="C9" i="4"/>
  <c r="AC18" i="4" s="1"/>
  <c r="D9" i="4"/>
  <c r="D7" i="4"/>
  <c r="G3" i="7"/>
  <c r="M20" i="7"/>
  <c r="R20" i="7" s="1"/>
  <c r="E6" i="4"/>
  <c r="F6" i="4" s="1"/>
  <c r="E6" i="7"/>
  <c r="E7" i="4"/>
  <c r="F7" i="4" s="1"/>
  <c r="Y18" i="4"/>
  <c r="W15" i="4"/>
  <c r="AA15" i="4"/>
  <c r="E5" i="4"/>
  <c r="F5" i="4" s="1"/>
  <c r="U16" i="4"/>
  <c r="B6" i="4"/>
  <c r="U15" i="4" s="1"/>
  <c r="C6" i="4"/>
  <c r="C8" i="4"/>
  <c r="B8" i="4"/>
  <c r="AC14" i="4"/>
  <c r="V14" i="4"/>
  <c r="Z14" i="4"/>
  <c r="Q45" i="4"/>
  <c r="O35" i="4"/>
  <c r="O36" i="4"/>
  <c r="O42" i="4" s="1"/>
  <c r="O34" i="4"/>
  <c r="P45" i="4"/>
  <c r="T32" i="4"/>
  <c r="Q43" i="4"/>
  <c r="Q44" i="4"/>
  <c r="B3" i="4" l="1"/>
  <c r="W17" i="4"/>
  <c r="AC17" i="4"/>
  <c r="U19" i="4"/>
  <c r="Y19" i="4"/>
  <c r="K46" i="4"/>
  <c r="Q42" i="4"/>
  <c r="AA17" i="4"/>
  <c r="G8" i="4"/>
  <c r="F44" i="7"/>
  <c r="G11" i="4" s="1"/>
  <c r="V18" i="4"/>
  <c r="Z18" i="4"/>
  <c r="G9" i="4"/>
  <c r="W18" i="4"/>
  <c r="AA18" i="4"/>
  <c r="C7" i="4"/>
  <c r="Z16" i="4" s="1"/>
  <c r="C25" i="4"/>
  <c r="G6" i="4"/>
  <c r="G7" i="4"/>
  <c r="AA16" i="4"/>
  <c r="W16" i="4"/>
  <c r="D5" i="4"/>
  <c r="D3" i="4" s="1"/>
  <c r="C24" i="4"/>
  <c r="Y15" i="4"/>
  <c r="B10" i="4"/>
  <c r="V17" i="4"/>
  <c r="Z15" i="4"/>
  <c r="AC15" i="4"/>
  <c r="V15" i="4"/>
  <c r="Z17" i="4"/>
  <c r="U17" i="4"/>
  <c r="Y17" i="4"/>
  <c r="T35" i="4"/>
  <c r="P44" i="4"/>
  <c r="P43" i="4"/>
  <c r="Q41" i="4"/>
  <c r="P41" i="4"/>
  <c r="R15" i="4"/>
  <c r="AA35" i="4" s="1"/>
  <c r="R14" i="4"/>
  <c r="Z35" i="4" s="1"/>
  <c r="W19" i="4" l="1"/>
  <c r="AA19" i="4"/>
  <c r="V19" i="4"/>
  <c r="Z19" i="4"/>
  <c r="AC19" i="4"/>
  <c r="AH35" i="4"/>
  <c r="AG35" i="4"/>
  <c r="C3" i="4"/>
  <c r="W14" i="4"/>
  <c r="F33" i="4"/>
  <c r="V16" i="4"/>
  <c r="AC16" i="4"/>
  <c r="H38" i="7"/>
  <c r="R6" i="4" s="1"/>
  <c r="H39" i="7"/>
  <c r="R7" i="4" s="1"/>
  <c r="AA14" i="4"/>
  <c r="F41" i="7"/>
  <c r="P9" i="4" s="1"/>
  <c r="G41" i="7"/>
  <c r="Q9" i="4" s="1"/>
  <c r="F39" i="7"/>
  <c r="P7" i="4" s="1"/>
  <c r="G39" i="7"/>
  <c r="Q7" i="4" s="1"/>
  <c r="G5" i="4"/>
  <c r="D25" i="4"/>
  <c r="F38" i="7"/>
  <c r="P6" i="4" s="1"/>
  <c r="G38" i="7"/>
  <c r="Q6" i="4" s="1"/>
  <c r="T33" i="4"/>
  <c r="P42" i="4"/>
  <c r="T34" i="4" s="1"/>
  <c r="D33" i="4"/>
  <c r="D29" i="4"/>
  <c r="AF35" i="4" l="1"/>
  <c r="U9" i="4"/>
  <c r="Y9" i="4"/>
  <c r="AC9" i="4"/>
  <c r="V9" i="4"/>
  <c r="Z9" i="4"/>
  <c r="AC7" i="4"/>
  <c r="V7" i="4"/>
  <c r="Z7" i="4"/>
  <c r="U7" i="4"/>
  <c r="Y7" i="4"/>
  <c r="AA7" i="4"/>
  <c r="W7" i="4"/>
  <c r="AA6" i="4"/>
  <c r="W6" i="4"/>
  <c r="AC6" i="4"/>
  <c r="Z6" i="4"/>
  <c r="V6" i="4"/>
  <c r="U6" i="4"/>
  <c r="Y6" i="4"/>
  <c r="H37" i="7"/>
  <c r="R5" i="4" s="1"/>
  <c r="W5" i="4" s="1"/>
  <c r="G37" i="7"/>
  <c r="Q5" i="4" s="1"/>
  <c r="G40" i="7"/>
  <c r="Q8" i="4" s="1"/>
  <c r="F40" i="7"/>
  <c r="P8" i="4" s="1"/>
  <c r="F35" i="4"/>
  <c r="Y8" i="4" l="1"/>
  <c r="U8" i="4"/>
  <c r="V8" i="4"/>
  <c r="AC8" i="4"/>
  <c r="Z8" i="4"/>
  <c r="AA5" i="4"/>
  <c r="V5" i="4"/>
  <c r="Z5" i="4"/>
  <c r="AC5" i="4"/>
  <c r="D10" i="4"/>
  <c r="C10" i="4"/>
  <c r="D12" i="4"/>
  <c r="C12" i="4"/>
  <c r="B12" i="4"/>
  <c r="D16" i="3"/>
  <c r="P16" i="4"/>
  <c r="D14" i="3"/>
  <c r="AB33" i="4" l="1"/>
  <c r="C11" i="4"/>
  <c r="M21" i="4"/>
  <c r="M22" i="4" s="1"/>
  <c r="M23" i="4" s="1"/>
  <c r="Z33" i="4"/>
  <c r="AA33" i="4"/>
  <c r="AB34" i="4"/>
  <c r="AM34" i="4" s="1"/>
  <c r="G10" i="4"/>
  <c r="D15" i="3"/>
  <c r="G3" i="4"/>
  <c r="D13" i="4"/>
  <c r="B11" i="4"/>
  <c r="AN6" i="4" l="1"/>
  <c r="AN5" i="4"/>
  <c r="AJ7" i="4"/>
  <c r="AK8" i="4"/>
  <c r="AL9" i="4"/>
  <c r="AF6" i="4"/>
  <c r="AG7" i="4"/>
  <c r="AH8" i="4"/>
  <c r="AG5" i="4"/>
  <c r="AL5" i="4"/>
  <c r="AF8" i="4"/>
  <c r="AN9" i="4"/>
  <c r="AK9" i="4"/>
  <c r="AG8" i="4"/>
  <c r="AN7" i="4"/>
  <c r="AJ6" i="4"/>
  <c r="AK7" i="4"/>
  <c r="AL8" i="4"/>
  <c r="AK5" i="4"/>
  <c r="AG6" i="4"/>
  <c r="AH7" i="4"/>
  <c r="AF9" i="4"/>
  <c r="AH5" i="4"/>
  <c r="AL7" i="4"/>
  <c r="AH6" i="4"/>
  <c r="AF5" i="4"/>
  <c r="AJ8" i="4"/>
  <c r="AF7" i="4"/>
  <c r="AN8" i="4"/>
  <c r="AK6" i="4"/>
  <c r="AJ9" i="4"/>
  <c r="AG9" i="4"/>
  <c r="AL6" i="4"/>
  <c r="AJ5" i="4"/>
  <c r="AH9" i="4"/>
  <c r="K16" i="4"/>
  <c r="K17" i="4"/>
  <c r="K18" i="4" s="1"/>
  <c r="P14" i="4"/>
  <c r="P15" i="4"/>
  <c r="AA34" i="4" l="1"/>
  <c r="Z34" i="4"/>
  <c r="AB40" i="4"/>
  <c r="AM40" i="4" s="1"/>
  <c r="Z40" i="4"/>
  <c r="AK40" i="4" s="1"/>
  <c r="AA40" i="4"/>
  <c r="AL40" i="4" s="1"/>
  <c r="U24" i="4"/>
  <c r="F12" i="7" s="1"/>
  <c r="AK34" i="4" l="1"/>
  <c r="AL34" i="4"/>
  <c r="AC25" i="4"/>
  <c r="AF25" i="4" s="1"/>
  <c r="AA39" i="4" s="1"/>
  <c r="AH39" i="4" s="1"/>
  <c r="AC24" i="4"/>
  <c r="AF24" i="4" s="1"/>
  <c r="Z39" i="4" s="1"/>
  <c r="AG39" i="4" s="1"/>
  <c r="Q16" i="4"/>
  <c r="AB37" i="4" s="1"/>
  <c r="AB47" i="4" s="1"/>
  <c r="Q15" i="4"/>
  <c r="Q14" i="4"/>
  <c r="AF19" i="4"/>
  <c r="AN19" i="4"/>
  <c r="AJ19" i="4"/>
  <c r="AK19" i="4"/>
  <c r="AL19" i="4"/>
  <c r="AJ15" i="4"/>
  <c r="AL17" i="4"/>
  <c r="AK14" i="4"/>
  <c r="AG15" i="4"/>
  <c r="AF18" i="4"/>
  <c r="AH14" i="4"/>
  <c r="AN17" i="4"/>
  <c r="AK15" i="4"/>
  <c r="AJ18" i="4"/>
  <c r="AL14" i="4"/>
  <c r="AH15" i="4"/>
  <c r="AF17" i="4"/>
  <c r="AG18" i="4"/>
  <c r="AF14" i="4"/>
  <c r="AN18" i="4"/>
  <c r="AL15" i="4"/>
  <c r="AJ17" i="4"/>
  <c r="AK18" i="4"/>
  <c r="AJ14" i="4"/>
  <c r="AG17" i="4"/>
  <c r="AH18" i="4"/>
  <c r="AN15" i="4"/>
  <c r="AN14" i="4"/>
  <c r="AK17" i="4"/>
  <c r="AL18" i="4"/>
  <c r="AF15" i="4"/>
  <c r="AH17" i="4"/>
  <c r="AG14" i="4"/>
  <c r="AJ16" i="4"/>
  <c r="AF16" i="4"/>
  <c r="AH16" i="4"/>
  <c r="AL16" i="4"/>
  <c r="AK16" i="4"/>
  <c r="AN16" i="4"/>
  <c r="AG16" i="4"/>
  <c r="F13" i="7"/>
  <c r="S15" i="4"/>
  <c r="S14" i="4"/>
  <c r="Z38" i="4" s="1"/>
  <c r="AG38" i="4" s="1"/>
  <c r="B19" i="4" s="1"/>
  <c r="AA37" i="4" l="1"/>
  <c r="Z37" i="4"/>
  <c r="AA38" i="4"/>
  <c r="AH38" i="4" s="1"/>
  <c r="AF39" i="4"/>
  <c r="AI37" i="4"/>
  <c r="C13" i="7"/>
  <c r="AA47" i="4" l="1"/>
  <c r="AA41" i="4" s="1"/>
  <c r="AB41" i="4"/>
  <c r="AH37" i="4"/>
  <c r="AG37" i="4"/>
  <c r="Z47" i="4"/>
  <c r="AF38" i="4"/>
  <c r="C19" i="4"/>
  <c r="D13" i="7" s="1"/>
  <c r="AF37" i="4" l="1"/>
  <c r="AI41" i="4" l="1"/>
  <c r="D20" i="4" s="1"/>
  <c r="AH41" i="4"/>
  <c r="C20" i="4" s="1"/>
  <c r="AB43" i="4"/>
  <c r="AB44" i="4" s="1"/>
  <c r="AA43" i="4"/>
  <c r="AA44" i="4" s="1"/>
  <c r="AH44" i="4" s="1"/>
  <c r="AI44" i="4" l="1"/>
  <c r="AM33" i="4" s="1"/>
  <c r="AL33" i="4"/>
  <c r="AH33" i="4" l="1"/>
  <c r="AH40" i="4" s="1"/>
  <c r="AH34" i="4"/>
  <c r="C18" i="4" s="1"/>
  <c r="D12" i="7" s="1"/>
  <c r="AI33" i="4"/>
  <c r="AI40" i="4" s="1"/>
  <c r="AI42" i="4" s="1"/>
  <c r="AI34" i="4"/>
  <c r="D18" i="4" s="1"/>
  <c r="E12" i="7" s="1"/>
  <c r="C16" i="4" l="1"/>
  <c r="Q21" i="4" s="1"/>
  <c r="AH36" i="4"/>
  <c r="D16" i="4"/>
  <c r="E11" i="7" s="1"/>
  <c r="AI36" i="4"/>
  <c r="D17" i="4"/>
  <c r="E14" i="7"/>
  <c r="C17" i="4"/>
  <c r="AH42" i="4"/>
  <c r="D11" i="7" l="1"/>
  <c r="C21" i="4"/>
  <c r="D15" i="7" s="1"/>
  <c r="D21" i="4"/>
  <c r="E15" i="7" s="1"/>
  <c r="R21" i="4"/>
  <c r="D14" i="7"/>
  <c r="Z41" i="4"/>
  <c r="Z43" i="4" s="1"/>
  <c r="Z44" i="4" s="1"/>
  <c r="AG44" i="4" s="1"/>
  <c r="AG41" i="4" l="1"/>
  <c r="AF44" i="4"/>
  <c r="AF41" i="4" l="1"/>
  <c r="B20" i="4"/>
  <c r="AK33" i="4"/>
  <c r="AG33" i="4" l="1"/>
  <c r="AF33" i="4" s="1"/>
  <c r="AG34" i="4"/>
  <c r="AG40" i="4" l="1"/>
  <c r="AF40" i="4" s="1"/>
  <c r="B16" i="4"/>
  <c r="C11" i="7" s="1"/>
  <c r="B18" i="4"/>
  <c r="AF34" i="4"/>
  <c r="AG36" i="4"/>
  <c r="AF36" i="4" s="1"/>
  <c r="AG42" i="4" l="1"/>
  <c r="AF42" i="4" s="1"/>
  <c r="B17" i="4"/>
  <c r="E17" i="4" s="1"/>
  <c r="P21" i="4"/>
  <c r="C12" i="7"/>
  <c r="B33" i="4"/>
  <c r="E41" i="4" s="1"/>
  <c r="C14" i="7"/>
  <c r="B21" i="4" l="1"/>
  <c r="C15" i="7" s="1"/>
  <c r="C40" i="4"/>
  <c r="C38" i="4"/>
  <c r="D39" i="4"/>
  <c r="B39" i="4"/>
  <c r="B40" i="4"/>
  <c r="C39" i="4"/>
  <c r="D38" i="4"/>
  <c r="G23" i="4" l="1"/>
  <c r="D6" i="3" s="1"/>
  <c r="E40" i="4"/>
  <c r="D41" i="4"/>
  <c r="B38" i="4"/>
  <c r="E39" i="4"/>
  <c r="C41" i="4"/>
  <c r="D7" i="3" l="1"/>
  <c r="C16" i="7"/>
  <c r="B41" i="4"/>
  <c r="E38" i="4"/>
  <c r="G43" i="4"/>
  <c r="G44" i="4" l="1"/>
  <c r="B42" i="4"/>
  <c r="I30" i="4"/>
  <c r="I2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保険係</author>
  </authors>
  <commentList>
    <comment ref="F3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保険係:</t>
        </r>
        <r>
          <rPr>
            <sz val="9"/>
            <color indexed="81"/>
            <rFont val="MS P ゴシック"/>
            <family val="3"/>
            <charset val="128"/>
          </rPr>
          <t xml:space="preserve">
Ｂ＝Ｃで、システム算出額と端数がズレた場合は、システム算出額を採用してください。
ただし、元の保険料に限度超過額がある場合は、エクセル算出額を採用してください。</t>
        </r>
      </text>
    </comment>
  </commentList>
</comments>
</file>

<file path=xl/sharedStrings.xml><?xml version="1.0" encoding="utf-8"?>
<sst xmlns="http://schemas.openxmlformats.org/spreadsheetml/2006/main" count="467" uniqueCount="296">
  <si>
    <t>世帯人数</t>
    <rPh sb="0" eb="2">
      <t>セタイ</t>
    </rPh>
    <rPh sb="2" eb="4">
      <t>ニンズウ</t>
    </rPh>
    <phoneticPr fontId="2"/>
  </si>
  <si>
    <t>個人所得1</t>
    <rPh sb="0" eb="2">
      <t>コジン</t>
    </rPh>
    <rPh sb="2" eb="4">
      <t>ショトク</t>
    </rPh>
    <phoneticPr fontId="2"/>
  </si>
  <si>
    <t>個人所得2</t>
    <rPh sb="0" eb="2">
      <t>コジン</t>
    </rPh>
    <rPh sb="2" eb="4">
      <t>ショトク</t>
    </rPh>
    <phoneticPr fontId="2"/>
  </si>
  <si>
    <t>個人所得3</t>
    <rPh sb="0" eb="2">
      <t>コジン</t>
    </rPh>
    <rPh sb="2" eb="4">
      <t>ショトク</t>
    </rPh>
    <phoneticPr fontId="2"/>
  </si>
  <si>
    <t>個人所得4</t>
    <rPh sb="0" eb="2">
      <t>コジン</t>
    </rPh>
    <rPh sb="2" eb="4">
      <t>ショトク</t>
    </rPh>
    <phoneticPr fontId="2"/>
  </si>
  <si>
    <t>個人所得5</t>
    <rPh sb="0" eb="2">
      <t>コジン</t>
    </rPh>
    <rPh sb="2" eb="4">
      <t>ショトク</t>
    </rPh>
    <phoneticPr fontId="2"/>
  </si>
  <si>
    <t>40～64歳</t>
    <rPh sb="5" eb="6">
      <t>サイ</t>
    </rPh>
    <phoneticPr fontId="2"/>
  </si>
  <si>
    <t>65歳～74歳</t>
    <rPh sb="2" eb="3">
      <t>サイ</t>
    </rPh>
    <rPh sb="6" eb="7">
      <t>サイ</t>
    </rPh>
    <phoneticPr fontId="2"/>
  </si>
  <si>
    <t>所得金額</t>
    <rPh sb="0" eb="2">
      <t>ショトク</t>
    </rPh>
    <rPh sb="2" eb="4">
      <t>キンガク</t>
    </rPh>
    <phoneticPr fontId="2"/>
  </si>
  <si>
    <t>所得合計額</t>
    <rPh sb="0" eb="2">
      <t>ショトク</t>
    </rPh>
    <rPh sb="2" eb="4">
      <t>ゴウケイ</t>
    </rPh>
    <rPh sb="4" eb="5">
      <t>ガク</t>
    </rPh>
    <phoneticPr fontId="2"/>
  </si>
  <si>
    <t>基礎控除後</t>
    <rPh sb="0" eb="2">
      <t>キソ</t>
    </rPh>
    <rPh sb="2" eb="4">
      <t>コウジョ</t>
    </rPh>
    <rPh sb="4" eb="5">
      <t>ゴ</t>
    </rPh>
    <phoneticPr fontId="2"/>
  </si>
  <si>
    <t>医療分</t>
    <rPh sb="0" eb="2">
      <t>イリョウ</t>
    </rPh>
    <rPh sb="2" eb="3">
      <t>ブン</t>
    </rPh>
    <phoneticPr fontId="2"/>
  </si>
  <si>
    <t>介護分</t>
    <rPh sb="0" eb="2">
      <t>カイゴ</t>
    </rPh>
    <rPh sb="2" eb="3">
      <t>ブン</t>
    </rPh>
    <phoneticPr fontId="2"/>
  </si>
  <si>
    <t>支援分</t>
    <rPh sb="0" eb="2">
      <t>シエン</t>
    </rPh>
    <rPh sb="2" eb="3">
      <t>ブン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</si>
  <si>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</si>
  <si>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均等割額</t>
    <rPh sb="0" eb="3">
      <t>キントウワリ</t>
    </rPh>
    <rPh sb="3" eb="4">
      <t>ガク</t>
    </rPh>
    <phoneticPr fontId="2"/>
  </si>
  <si>
    <t>平等割額</t>
    <rPh sb="0" eb="2">
      <t>ビョウドウ</t>
    </rPh>
    <rPh sb="2" eb="3">
      <t>ワリ</t>
    </rPh>
    <rPh sb="3" eb="4">
      <t>ガク</t>
    </rPh>
    <phoneticPr fontId="2"/>
  </si>
  <si>
    <t>合計</t>
    <rPh sb="0" eb="2">
      <t>ゴウケイ</t>
    </rPh>
    <phoneticPr fontId="2"/>
  </si>
  <si>
    <t>所得割</t>
    <rPh sb="0" eb="2">
      <t>ショトク</t>
    </rPh>
    <rPh sb="2" eb="3">
      <t>ワリ</t>
    </rPh>
    <phoneticPr fontId="2"/>
  </si>
  <si>
    <t>被保険者数</t>
    <rPh sb="0" eb="4">
      <t>ヒホケンシャ</t>
    </rPh>
    <rPh sb="4" eb="5">
      <t>スウ</t>
    </rPh>
    <phoneticPr fontId="2"/>
  </si>
  <si>
    <t>年間保険料</t>
    <rPh sb="0" eb="2">
      <t>ネンカン</t>
    </rPh>
    <rPh sb="2" eb="5">
      <t>ホケンリョウ</t>
    </rPh>
    <phoneticPr fontId="2"/>
  </si>
  <si>
    <t>軽減割合</t>
    <rPh sb="0" eb="2">
      <t>ケイゲン</t>
    </rPh>
    <rPh sb="2" eb="4">
      <t>ワリアイ</t>
    </rPh>
    <phoneticPr fontId="2"/>
  </si>
  <si>
    <t>賦課所得合計（各基礎控除後の合計）</t>
    <rPh sb="0" eb="2">
      <t>フカ</t>
    </rPh>
    <rPh sb="2" eb="4">
      <t>ショトク</t>
    </rPh>
    <rPh sb="4" eb="6">
      <t>ゴウケイ</t>
    </rPh>
    <rPh sb="7" eb="8">
      <t>カク</t>
    </rPh>
    <rPh sb="8" eb="10">
      <t>キソ</t>
    </rPh>
    <rPh sb="10" eb="12">
      <t>コウジョ</t>
    </rPh>
    <rPh sb="12" eb="13">
      <t>ゴ</t>
    </rPh>
    <rPh sb="14" eb="16">
      <t>ゴウケイ</t>
    </rPh>
    <phoneticPr fontId="2"/>
  </si>
  <si>
    <t>軽減判定所得</t>
  </si>
  <si>
    <t>前年の世帯所得合計</t>
    <rPh sb="0" eb="2">
      <t>ゼンネン</t>
    </rPh>
    <rPh sb="3" eb="5">
      <t>セタイ</t>
    </rPh>
    <rPh sb="5" eb="7">
      <t>ショトク</t>
    </rPh>
    <rPh sb="7" eb="9">
      <t>ゴウケイ</t>
    </rPh>
    <phoneticPr fontId="2"/>
  </si>
  <si>
    <t>限度超過額</t>
    <rPh sb="0" eb="2">
      <t>ゲンド</t>
    </rPh>
    <rPh sb="2" eb="4">
      <t>チョウカ</t>
    </rPh>
    <rPh sb="4" eb="5">
      <t>ガク</t>
    </rPh>
    <phoneticPr fontId="2"/>
  </si>
  <si>
    <t>世帯減少率</t>
    <rPh sb="0" eb="2">
      <t>セタイ</t>
    </rPh>
    <rPh sb="2" eb="4">
      <t>ゲンショウ</t>
    </rPh>
    <rPh sb="4" eb="5">
      <t>リツ</t>
    </rPh>
    <phoneticPr fontId="2"/>
  </si>
  <si>
    <t>世帯減免率</t>
    <rPh sb="0" eb="2">
      <t>セタイ</t>
    </rPh>
    <rPh sb="2" eb="4">
      <t>ゲンメン</t>
    </rPh>
    <rPh sb="4" eb="5">
      <t>リツ</t>
    </rPh>
    <phoneticPr fontId="2"/>
  </si>
  <si>
    <t>人数加算</t>
    <rPh sb="0" eb="2">
      <t>ニンズウ</t>
    </rPh>
    <rPh sb="2" eb="4">
      <t>カサン</t>
    </rPh>
    <phoneticPr fontId="2"/>
  </si>
  <si>
    <t>(内　年金所得)</t>
    <rPh sb="1" eb="2">
      <t>ウチ</t>
    </rPh>
    <rPh sb="3" eb="5">
      <t>ネンキン</t>
    </rPh>
    <rPh sb="5" eb="7">
      <t>ショトク</t>
    </rPh>
    <phoneticPr fontId="2"/>
  </si>
  <si>
    <t>擬制世帯主の所得金額</t>
    <rPh sb="0" eb="2">
      <t>ギセイ</t>
    </rPh>
    <rPh sb="2" eb="5">
      <t>セタイヌシ</t>
    </rPh>
    <rPh sb="6" eb="8">
      <t>ショトク</t>
    </rPh>
    <rPh sb="8" eb="10">
      <t>キンガク</t>
    </rPh>
    <phoneticPr fontId="2"/>
  </si>
  <si>
    <t>黄色セル</t>
    <rPh sb="0" eb="2">
      <t>キイロ</t>
    </rPh>
    <phoneticPr fontId="2"/>
  </si>
  <si>
    <t>堺市国民健康保険料（試算）</t>
    <rPh sb="0" eb="2">
      <t>サカイシ</t>
    </rPh>
    <rPh sb="2" eb="4">
      <t>コクミン</t>
    </rPh>
    <rPh sb="4" eb="6">
      <t>ケンコウ</t>
    </rPh>
    <rPh sb="6" eb="9">
      <t>ホケンリョウ</t>
    </rPh>
    <rPh sb="10" eb="12">
      <t>シサン</t>
    </rPh>
    <phoneticPr fontId="2"/>
  </si>
  <si>
    <t>年間保険料額</t>
    <rPh sb="0" eb="1">
      <t>ネン</t>
    </rPh>
    <rPh sb="1" eb="2">
      <t>カン</t>
    </rPh>
    <rPh sb="2" eb="5">
      <t>ホケンリョウ</t>
    </rPh>
    <rPh sb="5" eb="6">
      <t>ガク</t>
    </rPh>
    <phoneticPr fontId="2"/>
  </si>
  <si>
    <t>39歳以下</t>
    <rPh sb="2" eb="3">
      <t>サイ</t>
    </rPh>
    <rPh sb="3" eb="5">
      <t>イカ</t>
    </rPh>
    <phoneticPr fontId="2"/>
  </si>
  <si>
    <t>40～64歳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</si>
  <si>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</si>
  <si>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※試算条件は次の通りです。</t>
    <rPh sb="1" eb="3">
      <t>シサン</t>
    </rPh>
    <rPh sb="3" eb="5">
      <t>ジョウケン</t>
    </rPh>
    <rPh sb="6" eb="7">
      <t>ツギ</t>
    </rPh>
    <rPh sb="8" eb="9">
      <t>トオ</t>
    </rPh>
    <phoneticPr fontId="2"/>
  </si>
  <si>
    <t>加入する人数</t>
    <rPh sb="0" eb="2">
      <t>カニュウ</t>
    </rPh>
    <rPh sb="4" eb="6">
      <t>ニンズウ</t>
    </rPh>
    <phoneticPr fontId="2"/>
  </si>
  <si>
    <t>　</t>
  </si>
  <si>
    <t>0～39</t>
    <phoneticPr fontId="2"/>
  </si>
  <si>
    <t>40～64</t>
    <phoneticPr fontId="2"/>
  </si>
  <si>
    <t>65～74</t>
    <phoneticPr fontId="2"/>
  </si>
  <si>
    <t>医</t>
    <rPh sb="0" eb="1">
      <t>イ</t>
    </rPh>
    <phoneticPr fontId="2"/>
  </si>
  <si>
    <t>支</t>
    <rPh sb="0" eb="1">
      <t>シ</t>
    </rPh>
    <phoneticPr fontId="2"/>
  </si>
  <si>
    <t>介</t>
    <rPh sb="0" eb="1">
      <t>スケ</t>
    </rPh>
    <phoneticPr fontId="2"/>
  </si>
  <si>
    <t>年金控除後所得</t>
    <rPh sb="3" eb="4">
      <t>ゴ</t>
    </rPh>
    <rPh sb="5" eb="7">
      <t>ショトク</t>
    </rPh>
    <phoneticPr fontId="2"/>
  </si>
  <si>
    <t>軽減判定年金控除後</t>
    <rPh sb="0" eb="2">
      <t>ケイゲン</t>
    </rPh>
    <rPh sb="2" eb="4">
      <t>ハンテイ</t>
    </rPh>
    <rPh sb="4" eb="6">
      <t>ネンキン</t>
    </rPh>
    <rPh sb="6" eb="8">
      <t>コウジョ</t>
    </rPh>
    <rPh sb="8" eb="9">
      <t>ゴ</t>
    </rPh>
    <phoneticPr fontId="2"/>
  </si>
  <si>
    <t>条例減免入力エリア</t>
    <rPh sb="0" eb="2">
      <t>ジョウレイ</t>
    </rPh>
    <rPh sb="2" eb="4">
      <t>ゲンメン</t>
    </rPh>
    <rPh sb="4" eb="6">
      <t>ニュウリョク</t>
    </rPh>
    <phoneticPr fontId="2"/>
  </si>
  <si>
    <t>のみが入力エリア。</t>
    <phoneticPr fontId="2"/>
  </si>
  <si>
    <t>※</t>
    <phoneticPr fontId="2"/>
  </si>
  <si>
    <t>コロナ減免入力エリア</t>
    <rPh sb="3" eb="5">
      <t>ゲンメン</t>
    </rPh>
    <rPh sb="5" eb="7">
      <t>ニュウリョク</t>
    </rPh>
    <phoneticPr fontId="2"/>
  </si>
  <si>
    <t>収入</t>
    <rPh sb="0" eb="2">
      <t>シュウニュウ</t>
    </rPh>
    <phoneticPr fontId="2"/>
  </si>
  <si>
    <t>所得</t>
    <rPh sb="0" eb="2">
      <t>ショトク</t>
    </rPh>
    <phoneticPr fontId="2"/>
  </si>
  <si>
    <t>山林</t>
    <rPh sb="0" eb="2">
      <t>サンリン</t>
    </rPh>
    <phoneticPr fontId="2"/>
  </si>
  <si>
    <t>事業</t>
    <rPh sb="0" eb="2">
      <t>ジギョウ</t>
    </rPh>
    <phoneticPr fontId="2"/>
  </si>
  <si>
    <t>給与</t>
    <rPh sb="0" eb="2">
      <t>キュウヨ</t>
    </rPh>
    <phoneticPr fontId="2"/>
  </si>
  <si>
    <t>不動産</t>
    <rPh sb="0" eb="3">
      <t>フドウサン</t>
    </rPh>
    <phoneticPr fontId="2"/>
  </si>
  <si>
    <t>⇒　　　現在の収入減少状況</t>
    <rPh sb="4" eb="6">
      <t>ゲンザイ</t>
    </rPh>
    <phoneticPr fontId="2"/>
  </si>
  <si>
    <t>上記以外の種類の所得</t>
    <rPh sb="0" eb="2">
      <t>ジョウキ</t>
    </rPh>
    <rPh sb="2" eb="4">
      <t>イガイ</t>
    </rPh>
    <rPh sb="5" eb="7">
      <t>シュルイ</t>
    </rPh>
    <rPh sb="8" eb="10">
      <t>ショトク</t>
    </rPh>
    <phoneticPr fontId="2"/>
  </si>
  <si>
    <t>コロナ減免額</t>
    <rPh sb="3" eb="5">
      <t>ゲンメン</t>
    </rPh>
    <rPh sb="5" eb="6">
      <t>ガク</t>
    </rPh>
    <phoneticPr fontId="2"/>
  </si>
  <si>
    <t>いずれかの収入が30％以上減少</t>
    <rPh sb="5" eb="7">
      <t>シュウニュウ</t>
    </rPh>
    <rPh sb="11" eb="13">
      <t>イジョウ</t>
    </rPh>
    <rPh sb="13" eb="15">
      <t>ゲンショウ</t>
    </rPh>
    <phoneticPr fontId="2"/>
  </si>
  <si>
    <t>所得1000万円以下</t>
    <rPh sb="0" eb="2">
      <t>ショトク</t>
    </rPh>
    <rPh sb="6" eb="8">
      <t>マンエン</t>
    </rPh>
    <rPh sb="8" eb="10">
      <t>イカ</t>
    </rPh>
    <phoneticPr fontId="2"/>
  </si>
  <si>
    <t>減少収入以外の所得400万円以下</t>
    <rPh sb="0" eb="2">
      <t>ゲンショウ</t>
    </rPh>
    <rPh sb="2" eb="4">
      <t>シュウニュウ</t>
    </rPh>
    <rPh sb="4" eb="6">
      <t>イガイ</t>
    </rPh>
    <rPh sb="7" eb="9">
      <t>ショトク</t>
    </rPh>
    <rPh sb="12" eb="14">
      <t>マンエン</t>
    </rPh>
    <rPh sb="14" eb="16">
      <t>イカ</t>
    </rPh>
    <phoneticPr fontId="2"/>
  </si>
  <si>
    <t>OKなら1</t>
  </si>
  <si>
    <t>OKなら1</t>
    <phoneticPr fontId="2"/>
  </si>
  <si>
    <t>新型コロナに感染し、死亡した又は重篤な状態となった①</t>
    <rPh sb="0" eb="2">
      <t>シンガタ</t>
    </rPh>
    <rPh sb="6" eb="8">
      <t>カンセン</t>
    </rPh>
    <rPh sb="10" eb="12">
      <t>シボウ</t>
    </rPh>
    <rPh sb="14" eb="15">
      <t>マタ</t>
    </rPh>
    <rPh sb="16" eb="18">
      <t>ジュウトク</t>
    </rPh>
    <rPh sb="19" eb="21">
      <t>ジョウタイ</t>
    </rPh>
    <phoneticPr fontId="2"/>
  </si>
  <si>
    <t>③非該当or(該当＋他の収入減少あり)</t>
    <rPh sb="1" eb="4">
      <t>ヒガイトウ</t>
    </rPh>
    <rPh sb="7" eb="9">
      <t>ガイトウ</t>
    </rPh>
    <rPh sb="10" eb="11">
      <t>タ</t>
    </rPh>
    <rPh sb="12" eb="14">
      <t>シュウニュウ</t>
    </rPh>
    <rPh sb="14" eb="16">
      <t>ゲンショウ</t>
    </rPh>
    <phoneticPr fontId="2"/>
  </si>
  <si>
    <t>×</t>
    <phoneticPr fontId="2"/>
  </si>
  <si>
    <t>÷</t>
    <phoneticPr fontId="2"/>
  </si>
  <si>
    <t>Ｂ：減少収入に係る前年所得</t>
    <rPh sb="2" eb="4">
      <t>ゲンショウ</t>
    </rPh>
    <rPh sb="4" eb="6">
      <t>シュウニュウ</t>
    </rPh>
    <rPh sb="7" eb="8">
      <t>カカ</t>
    </rPh>
    <rPh sb="9" eb="11">
      <t>ゼンネン</t>
    </rPh>
    <rPh sb="11" eb="13">
      <t>ショトク</t>
    </rPh>
    <phoneticPr fontId="2"/>
  </si>
  <si>
    <t>Ｃ：全員の前年所得合計</t>
    <rPh sb="2" eb="4">
      <t>ゼンイン</t>
    </rPh>
    <rPh sb="5" eb="7">
      <t>ゼンネン</t>
    </rPh>
    <rPh sb="7" eb="9">
      <t>ショトク</t>
    </rPh>
    <rPh sb="9" eb="11">
      <t>ゴウケイ</t>
    </rPh>
    <phoneticPr fontId="2"/>
  </si>
  <si>
    <t>↓</t>
    <phoneticPr fontId="2"/>
  </si>
  <si>
    <t>Ａ：全体保険料（減免前）</t>
    <rPh sb="2" eb="4">
      <t>ゼンタイ</t>
    </rPh>
    <rPh sb="4" eb="7">
      <t>ホケンリョウ</t>
    </rPh>
    <rPh sb="8" eb="10">
      <t>ゲンメン</t>
    </rPh>
    <rPh sb="10" eb="11">
      <t>マエ</t>
    </rPh>
    <phoneticPr fontId="2"/>
  </si>
  <si>
    <t>減少なし</t>
    <rPh sb="0" eb="2">
      <t>ゲンショウ</t>
    </rPh>
    <phoneticPr fontId="2"/>
  </si>
  <si>
    <t>減少</t>
    <rPh sb="0" eb="2">
      <t>ゲンショウ</t>
    </rPh>
    <phoneticPr fontId="2"/>
  </si>
  <si>
    <t>Dの区分表</t>
    <rPh sb="2" eb="4">
      <t>クブン</t>
    </rPh>
    <rPh sb="4" eb="5">
      <t>ヒョウ</t>
    </rPh>
    <phoneticPr fontId="2"/>
  </si>
  <si>
    <t>オール1でなければ減免不可↑</t>
    <rPh sb="11" eb="13">
      <t>フカ</t>
    </rPh>
    <phoneticPr fontId="2"/>
  </si>
  <si>
    <t>端数チェック→</t>
    <rPh sb="0" eb="2">
      <t>ハスウ</t>
    </rPh>
    <phoneticPr fontId="2"/>
  </si>
  <si>
    <r>
      <t>（すべて</t>
    </r>
    <r>
      <rPr>
        <b/>
        <u/>
        <sz val="11"/>
        <color theme="1"/>
        <rFont val="ＭＳ Ｐゴシック"/>
        <family val="3"/>
        <charset val="128"/>
      </rPr>
      <t>主たる生計維持者の情報</t>
    </r>
    <r>
      <rPr>
        <sz val="11"/>
        <color theme="1"/>
        <rFont val="ＭＳ Ｐゴシック"/>
        <family val="2"/>
        <charset val="128"/>
      </rPr>
      <t>として入力）</t>
    </r>
    <rPh sb="4" eb="5">
      <t>シュ</t>
    </rPh>
    <rPh sb="7" eb="9">
      <t>セイケイ</t>
    </rPh>
    <rPh sb="9" eb="11">
      <t>イジ</t>
    </rPh>
    <rPh sb="11" eb="12">
      <t>シャ</t>
    </rPh>
    <rPh sb="13" eb="15">
      <t>ジョウホウ</t>
    </rPh>
    <rPh sb="18" eb="20">
      <t>ニュウリョク</t>
    </rPh>
    <phoneticPr fontId="2"/>
  </si>
  <si>
    <t>月数指定</t>
    <rPh sb="0" eb="2">
      <t>ツキスウ</t>
    </rPh>
    <rPh sb="2" eb="4">
      <t>シテイ</t>
    </rPh>
    <phoneticPr fontId="2"/>
  </si>
  <si>
    <t>条例減免額</t>
    <rPh sb="0" eb="2">
      <t>ジョウレイ</t>
    </rPh>
    <rPh sb="2" eb="4">
      <t>ゲンメン</t>
    </rPh>
    <rPh sb="4" eb="5">
      <t>ガク</t>
    </rPh>
    <phoneticPr fontId="2"/>
  </si>
  <si>
    <t>合計</t>
    <rPh sb="0" eb="2">
      <t>ゴウケイ</t>
    </rPh>
    <phoneticPr fontId="2"/>
  </si>
  <si>
    <t>←政令軽減適用時は青字</t>
    <phoneticPr fontId="2"/>
  </si>
  <si>
    <t>支援分</t>
    <rPh sb="0" eb="2">
      <t>シエン</t>
    </rPh>
    <rPh sb="2" eb="3">
      <t>ブン</t>
    </rPh>
    <phoneticPr fontId="2"/>
  </si>
  <si>
    <t>コロナ減免額合計</t>
    <rPh sb="3" eb="5">
      <t>ゲンメン</t>
    </rPh>
    <rPh sb="5" eb="6">
      <t>ガク</t>
    </rPh>
    <rPh sb="6" eb="8">
      <t>ゴウケイ</t>
    </rPh>
    <phoneticPr fontId="2"/>
  </si>
  <si>
    <t>限度超過額</t>
    <rPh sb="0" eb="2">
      <t>ゲンド</t>
    </rPh>
    <rPh sb="2" eb="4">
      <t>チョウカ</t>
    </rPh>
    <rPh sb="4" eb="5">
      <t>ガク</t>
    </rPh>
    <phoneticPr fontId="2"/>
  </si>
  <si>
    <t>非自発的失業者軽減に該当する③</t>
    <phoneticPr fontId="2"/>
  </si>
  <si>
    <t>・年度途中異動</t>
    <rPh sb="1" eb="3">
      <t>ネンド</t>
    </rPh>
    <rPh sb="3" eb="5">
      <t>トチュウ</t>
    </rPh>
    <rPh sb="5" eb="7">
      <t>イドウ</t>
    </rPh>
    <phoneticPr fontId="2"/>
  </si>
  <si>
    <t>・単２／単４</t>
    <rPh sb="1" eb="2">
      <t>タン</t>
    </rPh>
    <rPh sb="4" eb="5">
      <t>タン</t>
    </rPh>
    <phoneticPr fontId="2"/>
  </si>
  <si>
    <t>・専従割り戻し</t>
    <rPh sb="1" eb="3">
      <t>センジュウ</t>
    </rPh>
    <rPh sb="3" eb="4">
      <t>ワ</t>
    </rPh>
    <rPh sb="5" eb="6">
      <t>モド</t>
    </rPh>
    <phoneticPr fontId="2"/>
  </si>
  <si>
    <t>・旧国保世帯員</t>
    <rPh sb="1" eb="2">
      <t>キュウ</t>
    </rPh>
    <rPh sb="2" eb="4">
      <t>コクホ</t>
    </rPh>
    <rPh sb="4" eb="6">
      <t>セタイ</t>
    </rPh>
    <rPh sb="6" eb="7">
      <t>イン</t>
    </rPh>
    <phoneticPr fontId="2"/>
  </si>
  <si>
    <t>（計算ズレ事例）</t>
    <rPh sb="1" eb="3">
      <t>ケイサン</t>
    </rPh>
    <rPh sb="5" eb="7">
      <t>ジレイ</t>
    </rPh>
    <phoneticPr fontId="2"/>
  </si>
  <si>
    <t xml:space="preserve"> ←自動計算したくない項目は、↓へ金額を直接入力。</t>
    <rPh sb="2" eb="4">
      <t>ジドウ</t>
    </rPh>
    <rPh sb="4" eb="6">
      <t>ケイサン</t>
    </rPh>
    <rPh sb="11" eb="13">
      <t>コウモク</t>
    </rPh>
    <rPh sb="17" eb="19">
      <t>キンガク</t>
    </rPh>
    <rPh sb="20" eb="22">
      <t>チョクセツ</t>
    </rPh>
    <rPh sb="22" eb="24">
      <t>ニュウリョク</t>
    </rPh>
    <phoneticPr fontId="2"/>
  </si>
  <si>
    <t>限度超過額（条例減免前）</t>
    <rPh sb="0" eb="2">
      <t>ゲンド</t>
    </rPh>
    <rPh sb="2" eb="4">
      <t>チョウカ</t>
    </rPh>
    <rPh sb="4" eb="5">
      <t>ガク</t>
    </rPh>
    <rPh sb="6" eb="8">
      <t>ジョウレイ</t>
    </rPh>
    <rPh sb="8" eb="10">
      <t>ゲンメン</t>
    </rPh>
    <rPh sb="10" eb="11">
      <t>マエ</t>
    </rPh>
    <phoneticPr fontId="2"/>
  </si>
  <si>
    <t>医療分</t>
    <rPh sb="0" eb="2">
      <t>イリョウ</t>
    </rPh>
    <rPh sb="2" eb="3">
      <t>ブン</t>
    </rPh>
    <phoneticPr fontId="2"/>
  </si>
  <si>
    <t>支援分</t>
    <rPh sb="0" eb="2">
      <t>シエン</t>
    </rPh>
    <rPh sb="2" eb="3">
      <t>ブン</t>
    </rPh>
    <phoneticPr fontId="2"/>
  </si>
  <si>
    <t>介護分</t>
    <rPh sb="0" eb="2">
      <t>カイゴ</t>
    </rPh>
    <rPh sb="2" eb="3">
      <t>ブン</t>
    </rPh>
    <phoneticPr fontId="2"/>
  </si>
  <si>
    <t>65歳以上の時 (内 年金所得)</t>
    <rPh sb="9" eb="10">
      <t>ウチ</t>
    </rPh>
    <rPh sb="11" eb="13">
      <t>ネンキン</t>
    </rPh>
    <rPh sb="13" eb="15">
      <t>ショトク</t>
    </rPh>
    <phoneticPr fontId="2"/>
  </si>
  <si>
    <t>※↑非自発該当時の給与所得は、「減少なし」と判断している。</t>
    <rPh sb="2" eb="3">
      <t>ヒ</t>
    </rPh>
    <rPh sb="3" eb="5">
      <t>ジハツ</t>
    </rPh>
    <rPh sb="5" eb="7">
      <t>ガイトウ</t>
    </rPh>
    <rPh sb="7" eb="8">
      <t>ジ</t>
    </rPh>
    <rPh sb="9" eb="11">
      <t>キュウヨ</t>
    </rPh>
    <rPh sb="11" eb="13">
      <t>ショトク</t>
    </rPh>
    <rPh sb="16" eb="18">
      <t>ゲンショウ</t>
    </rPh>
    <rPh sb="22" eb="24">
      <t>ハンダン</t>
    </rPh>
    <phoneticPr fontId="2"/>
  </si>
  <si>
    <t>　（Ｂの金額に含まない。）</t>
    <rPh sb="4" eb="6">
      <t>キンガク</t>
    </rPh>
    <rPh sb="7" eb="8">
      <t>フク</t>
    </rPh>
    <phoneticPr fontId="2"/>
  </si>
  <si>
    <t>新型コロナの影響で、事業等を廃止した又は失業した②</t>
    <rPh sb="0" eb="2">
      <t>シンガタ</t>
    </rPh>
    <rPh sb="6" eb="8">
      <t>エイキョウ</t>
    </rPh>
    <rPh sb="10" eb="12">
      <t>ジギョウ</t>
    </rPh>
    <rPh sb="12" eb="13">
      <t>ナド</t>
    </rPh>
    <rPh sb="14" eb="16">
      <t>ハイシ</t>
    </rPh>
    <rPh sb="18" eb="19">
      <t>マタ</t>
    </rPh>
    <rPh sb="20" eb="22">
      <t>シツギョウ</t>
    </rPh>
    <phoneticPr fontId="2"/>
  </si>
  <si>
    <t>給与所得者等の人数（計算用制御後）</t>
    <rPh sb="0" eb="2">
      <t>キュウヨ</t>
    </rPh>
    <rPh sb="2" eb="4">
      <t>ショトク</t>
    </rPh>
    <rPh sb="4" eb="5">
      <t>シャ</t>
    </rPh>
    <rPh sb="5" eb="6">
      <t>ナド</t>
    </rPh>
    <rPh sb="7" eb="9">
      <t>ニンズ</t>
    </rPh>
    <rPh sb="10" eb="13">
      <t>ケイサンヨウ</t>
    </rPh>
    <rPh sb="13" eb="15">
      <t>セイギョ</t>
    </rPh>
    <rPh sb="15" eb="16">
      <t>ゴ</t>
    </rPh>
    <phoneticPr fontId="2"/>
  </si>
  <si>
    <t>１か月平均の保険料額</t>
    <rPh sb="2" eb="3">
      <t>ゲツ</t>
    </rPh>
    <rPh sb="3" eb="5">
      <t>ヘイキン</t>
    </rPh>
    <rPh sb="6" eb="9">
      <t>ホケンリョウ</t>
    </rPh>
    <rPh sb="9" eb="10">
      <t>ガク</t>
    </rPh>
    <phoneticPr fontId="2"/>
  </si>
  <si>
    <t>国保加入する</t>
    <rPh sb="0" eb="2">
      <t>コクホ</t>
    </rPh>
    <rPh sb="2" eb="4">
      <t>カニュウ</t>
    </rPh>
    <phoneticPr fontId="2"/>
  </si>
  <si>
    <t>年齢</t>
    <rPh sb="0" eb="2">
      <t>ネンレイ</t>
    </rPh>
    <phoneticPr fontId="2"/>
  </si>
  <si>
    <t>政令軽減判定所得</t>
    <rPh sb="0" eb="2">
      <t>セイレイ</t>
    </rPh>
    <rPh sb="2" eb="4">
      <t>ケイゲン</t>
    </rPh>
    <rPh sb="4" eb="6">
      <t>ハンテイ</t>
    </rPh>
    <rPh sb="6" eb="8">
      <t>ショトク</t>
    </rPh>
    <phoneticPr fontId="2"/>
  </si>
  <si>
    <t>世帯主(必須)</t>
    <rPh sb="0" eb="3">
      <t>セタイヌシ</t>
    </rPh>
    <rPh sb="4" eb="6">
      <t>ヒッス</t>
    </rPh>
    <phoneticPr fontId="2"/>
  </si>
  <si>
    <t>加入世帯員１</t>
    <rPh sb="0" eb="2">
      <t>カニュウ</t>
    </rPh>
    <rPh sb="2" eb="5">
      <t>セタイイン</t>
    </rPh>
    <phoneticPr fontId="2"/>
  </si>
  <si>
    <t>加入世帯員２</t>
    <rPh sb="0" eb="2">
      <t>カニュウ</t>
    </rPh>
    <rPh sb="2" eb="5">
      <t>セタイイン</t>
    </rPh>
    <phoneticPr fontId="2"/>
  </si>
  <si>
    <t>加入世帯員３</t>
    <rPh sb="0" eb="2">
      <t>カニュウ</t>
    </rPh>
    <rPh sb="2" eb="5">
      <t>セタイイン</t>
    </rPh>
    <phoneticPr fontId="2"/>
  </si>
  <si>
    <t>加入世帯員４</t>
    <rPh sb="0" eb="2">
      <t>カニュウ</t>
    </rPh>
    <rPh sb="2" eb="5">
      <t>セタイイン</t>
    </rPh>
    <phoneticPr fontId="2"/>
  </si>
  <si>
    <t>加入世帯員５</t>
    <rPh sb="0" eb="2">
      <t>カニュウ</t>
    </rPh>
    <rPh sb="2" eb="5">
      <t>セタイイン</t>
    </rPh>
    <phoneticPr fontId="2"/>
  </si>
  <si>
    <t>国保加入しない</t>
    <rPh sb="0" eb="2">
      <t>コクホ</t>
    </rPh>
    <rPh sb="2" eb="4">
      <t>カニュウ</t>
    </rPh>
    <phoneticPr fontId="2"/>
  </si>
  <si>
    <t>40歳以上64歳以下</t>
    <rPh sb="2" eb="5">
      <t>サイイジョウ</t>
    </rPh>
    <rPh sb="7" eb="8">
      <t>サイ</t>
    </rPh>
    <rPh sb="8" eb="10">
      <t>イカ</t>
    </rPh>
    <phoneticPr fontId="2"/>
  </si>
  <si>
    <t>65歳以上74歳以下</t>
    <rPh sb="2" eb="3">
      <t>サイ</t>
    </rPh>
    <rPh sb="3" eb="5">
      <t>イジョウ</t>
    </rPh>
    <rPh sb="7" eb="8">
      <t>サイ</t>
    </rPh>
    <rPh sb="8" eb="10">
      <t>イカ</t>
    </rPh>
    <phoneticPr fontId="2"/>
  </si>
  <si>
    <t>75歳以上</t>
    <rPh sb="2" eb="3">
      <t>サイ</t>
    </rPh>
    <rPh sb="3" eb="5">
      <t>イジョウ</t>
    </rPh>
    <phoneticPr fontId="2"/>
  </si>
  <si>
    <t>擬制世帯主64歳以下</t>
    <rPh sb="0" eb="2">
      <t>ギセイ</t>
    </rPh>
    <rPh sb="2" eb="5">
      <t>セタイヌシ</t>
    </rPh>
    <rPh sb="7" eb="8">
      <t>サイ</t>
    </rPh>
    <rPh sb="8" eb="10">
      <t>イカ</t>
    </rPh>
    <phoneticPr fontId="2"/>
  </si>
  <si>
    <t>擬制世帯主65歳以上</t>
    <rPh sb="0" eb="2">
      <t>ギセイ</t>
    </rPh>
    <rPh sb="2" eb="5">
      <t>セタイヌシ</t>
    </rPh>
    <rPh sb="7" eb="8">
      <t>サイ</t>
    </rPh>
    <rPh sb="8" eb="10">
      <t>イジョウ</t>
    </rPh>
    <phoneticPr fontId="2"/>
  </si>
  <si>
    <t>加入者39歳以下</t>
    <rPh sb="0" eb="3">
      <t>カニュウシャ</t>
    </rPh>
    <rPh sb="5" eb="8">
      <t>サイイカ</t>
    </rPh>
    <phoneticPr fontId="2"/>
  </si>
  <si>
    <t>加入者40歳以上64歳以下</t>
    <rPh sb="0" eb="3">
      <t>カニュウシャ</t>
    </rPh>
    <rPh sb="5" eb="6">
      <t>サイ</t>
    </rPh>
    <rPh sb="6" eb="8">
      <t>イジョウ</t>
    </rPh>
    <rPh sb="10" eb="13">
      <t>サイイカ</t>
    </rPh>
    <phoneticPr fontId="2"/>
  </si>
  <si>
    <t>加入者65歳以上74歳以下</t>
    <rPh sb="0" eb="3">
      <t>カニュウシャ</t>
    </rPh>
    <rPh sb="5" eb="6">
      <t>サイ</t>
    </rPh>
    <rPh sb="6" eb="8">
      <t>イジョウ</t>
    </rPh>
    <rPh sb="10" eb="13">
      <t>サイイカ</t>
    </rPh>
    <phoneticPr fontId="2"/>
  </si>
  <si>
    <t>加入の有無</t>
    <rPh sb="0" eb="2">
      <t>カニュウ</t>
    </rPh>
    <rPh sb="3" eb="5">
      <t>ウム</t>
    </rPh>
    <phoneticPr fontId="2"/>
  </si>
  <si>
    <t>資格CD</t>
    <rPh sb="0" eb="2">
      <t>シカク</t>
    </rPh>
    <phoneticPr fontId="2"/>
  </si>
  <si>
    <t>加入CD</t>
    <rPh sb="0" eb="2">
      <t>カニュウ</t>
    </rPh>
    <phoneticPr fontId="2"/>
  </si>
  <si>
    <t>年齢CD</t>
    <rPh sb="0" eb="2">
      <t>ネンレイ</t>
    </rPh>
    <phoneticPr fontId="2"/>
  </si>
  <si>
    <t>年金雑所得</t>
    <rPh sb="0" eb="2">
      <t>ネンキン</t>
    </rPh>
    <rPh sb="2" eb="5">
      <t>ザツショトク</t>
    </rPh>
    <phoneticPr fontId="2"/>
  </si>
  <si>
    <t>給与所得者等カウント</t>
    <rPh sb="0" eb="2">
      <t>キュウヨ</t>
    </rPh>
    <rPh sb="2" eb="4">
      <t>ショトク</t>
    </rPh>
    <rPh sb="4" eb="5">
      <t>シャ</t>
    </rPh>
    <rPh sb="5" eb="6">
      <t>ナド</t>
    </rPh>
    <phoneticPr fontId="2"/>
  </si>
  <si>
    <t>擬</t>
    <rPh sb="0" eb="1">
      <t>ギ</t>
    </rPh>
    <phoneticPr fontId="2"/>
  </si>
  <si>
    <t>計算(賦課対象所得)へ転送</t>
    <rPh sb="0" eb="2">
      <t>ケイサン</t>
    </rPh>
    <rPh sb="3" eb="5">
      <t>フカ</t>
    </rPh>
    <rPh sb="5" eb="7">
      <t>タイショウ</t>
    </rPh>
    <rPh sb="7" eb="9">
      <t>ショトク</t>
    </rPh>
    <rPh sb="11" eb="13">
      <t>テンソウ</t>
    </rPh>
    <phoneticPr fontId="2"/>
  </si>
  <si>
    <r>
      <t>給与</t>
    </r>
    <r>
      <rPr>
        <sz val="11"/>
        <color rgb="FFFF0000"/>
        <rFont val="HGｺﾞｼｯｸM"/>
        <family val="3"/>
        <charset val="128"/>
      </rPr>
      <t>収入</t>
    </r>
    <rPh sb="0" eb="2">
      <t>キュウヨ</t>
    </rPh>
    <rPh sb="2" eb="4">
      <t>シュウニュウ</t>
    </rPh>
    <phoneticPr fontId="2"/>
  </si>
  <si>
    <r>
      <t>年金</t>
    </r>
    <r>
      <rPr>
        <sz val="11"/>
        <color rgb="FFFF0000"/>
        <rFont val="HGｺﾞｼｯｸM"/>
        <family val="3"/>
        <charset val="128"/>
      </rPr>
      <t>収入</t>
    </r>
    <rPh sb="0" eb="2">
      <t>ネンキン</t>
    </rPh>
    <rPh sb="2" eb="4">
      <t>シュウニュウ</t>
    </rPh>
    <phoneticPr fontId="2"/>
  </si>
  <si>
    <t>調整控除</t>
    <rPh sb="0" eb="2">
      <t>チョウセイ</t>
    </rPh>
    <rPh sb="2" eb="4">
      <t>コウジョ</t>
    </rPh>
    <phoneticPr fontId="2"/>
  </si>
  <si>
    <t>給与所得（調整前）</t>
    <rPh sb="0" eb="2">
      <t>キュウヨ</t>
    </rPh>
    <rPh sb="2" eb="4">
      <t>ショトク</t>
    </rPh>
    <rPh sb="5" eb="7">
      <t>チョウセイ</t>
    </rPh>
    <rPh sb="7" eb="8">
      <t>マエ</t>
    </rPh>
    <phoneticPr fontId="2"/>
  </si>
  <si>
    <t>←本来設定値は150,000だが、入力シートで計算済み。</t>
    <rPh sb="1" eb="3">
      <t>ホンライ</t>
    </rPh>
    <rPh sb="3" eb="5">
      <t>セッテイ</t>
    </rPh>
    <rPh sb="5" eb="6">
      <t>チ</t>
    </rPh>
    <rPh sb="17" eb="19">
      <t>ニュウリョク</t>
    </rPh>
    <rPh sb="23" eb="25">
      <t>ケイサン</t>
    </rPh>
    <rPh sb="25" eb="26">
      <t>ズ</t>
    </rPh>
    <phoneticPr fontId="2"/>
  </si>
  <si>
    <t>賦課対象所得　←入力シートを参照している</t>
    <rPh sb="0" eb="2">
      <t>フカ</t>
    </rPh>
    <rPh sb="2" eb="4">
      <t>タイショウ</t>
    </rPh>
    <rPh sb="4" eb="6">
      <t>ショトク</t>
    </rPh>
    <rPh sb="8" eb="10">
      <t>ニュウリョク</t>
    </rPh>
    <rPh sb="14" eb="16">
      <t>サンショウ</t>
    </rPh>
    <phoneticPr fontId="2"/>
  </si>
  <si>
    <t>　※賦課所得は入力シートで計算済み。</t>
    <rPh sb="2" eb="4">
      <t>フカ</t>
    </rPh>
    <rPh sb="4" eb="6">
      <t>ショトク</t>
    </rPh>
    <rPh sb="7" eb="9">
      <t>ニュウリョク</t>
    </rPh>
    <rPh sb="13" eb="15">
      <t>ケイサン</t>
    </rPh>
    <rPh sb="15" eb="16">
      <t>ズ</t>
    </rPh>
    <phoneticPr fontId="2"/>
  </si>
  <si>
    <t>給与所得(調整前)計算T</t>
    <rPh sb="0" eb="2">
      <t>キュウヨ</t>
    </rPh>
    <rPh sb="2" eb="4">
      <t>ショトク</t>
    </rPh>
    <rPh sb="5" eb="7">
      <t>チョウセイ</t>
    </rPh>
    <rPh sb="7" eb="8">
      <t>マエ</t>
    </rPh>
    <rPh sb="9" eb="11">
      <t>ケイサン</t>
    </rPh>
    <phoneticPr fontId="2"/>
  </si>
  <si>
    <t>年金雑所得(64以下)計算T</t>
    <rPh sb="0" eb="2">
      <t>ネンキン</t>
    </rPh>
    <rPh sb="2" eb="5">
      <t>ザツショトク</t>
    </rPh>
    <rPh sb="3" eb="5">
      <t>ショトク</t>
    </rPh>
    <rPh sb="8" eb="10">
      <t>イカ</t>
    </rPh>
    <rPh sb="11" eb="13">
      <t>ケイサン</t>
    </rPh>
    <phoneticPr fontId="2"/>
  </si>
  <si>
    <t>年金雑所得(65以上)計算T</t>
    <rPh sb="0" eb="2">
      <t>ネンキン</t>
    </rPh>
    <rPh sb="2" eb="5">
      <t>ザツショトク</t>
    </rPh>
    <rPh sb="3" eb="5">
      <t>ショトク</t>
    </rPh>
    <rPh sb="8" eb="10">
      <t>イジョウ</t>
    </rPh>
    <rPh sb="11" eb="13">
      <t>ケイサン</t>
    </rPh>
    <phoneticPr fontId="2"/>
  </si>
  <si>
    <t>基礎控除T</t>
    <rPh sb="0" eb="2">
      <t>キソ</t>
    </rPh>
    <rPh sb="2" eb="4">
      <t>コウジョ</t>
    </rPh>
    <phoneticPr fontId="2"/>
  </si>
  <si>
    <t>A-550000</t>
    <phoneticPr fontId="2"/>
  </si>
  <si>
    <t>計算</t>
    <rPh sb="0" eb="2">
      <t>ケイサン</t>
    </rPh>
    <phoneticPr fontId="2"/>
  </si>
  <si>
    <t>ROUNDDOWN(A/4,-3)*2.4+100000</t>
    <phoneticPr fontId="2"/>
  </si>
  <si>
    <t>ROUNDDOWN(A/4,-3)*2.8-80000</t>
    <phoneticPr fontId="2"/>
  </si>
  <si>
    <t>ROUNDDOWN(A/4,-3)*3.2-440000</t>
    <phoneticPr fontId="2"/>
  </si>
  <si>
    <t>ROUNDDOWN(A*0.9,0)-1100000</t>
    <phoneticPr fontId="2"/>
  </si>
  <si>
    <t>A-1950000</t>
    <phoneticPr fontId="2"/>
  </si>
  <si>
    <t>・退職所得あり</t>
    <rPh sb="1" eb="3">
      <t>タイショク</t>
    </rPh>
    <rPh sb="3" eb="5">
      <t>ショトク</t>
    </rPh>
    <phoneticPr fontId="2"/>
  </si>
  <si>
    <r>
      <t>給与・年金以外の</t>
    </r>
    <r>
      <rPr>
        <u/>
        <sz val="11"/>
        <color rgb="FFFF0000"/>
        <rFont val="HGｺﾞｼｯｸM"/>
        <family val="3"/>
        <charset val="128"/>
      </rPr>
      <t>所得</t>
    </r>
    <r>
      <rPr>
        <vertAlign val="superscript"/>
        <sz val="11"/>
        <rFont val="HGｺﾞｼｯｸM"/>
        <family val="3"/>
        <charset val="128"/>
      </rPr>
      <t>*</t>
    </r>
    <rPh sb="0" eb="2">
      <t>キュウヨ</t>
    </rPh>
    <rPh sb="3" eb="5">
      <t>ネンキン</t>
    </rPh>
    <rPh sb="5" eb="7">
      <t>イガイ</t>
    </rPh>
    <rPh sb="8" eb="10">
      <t>ショトク</t>
    </rPh>
    <phoneticPr fontId="2"/>
  </si>
  <si>
    <t>退職所得</t>
    <rPh sb="0" eb="2">
      <t>タイショク</t>
    </rPh>
    <rPh sb="2" eb="4">
      <t>ショトク</t>
    </rPh>
    <phoneticPr fontId="2"/>
  </si>
  <si>
    <t>年金控除判定用所得</t>
    <rPh sb="0" eb="2">
      <t>ネンキン</t>
    </rPh>
    <rPh sb="2" eb="4">
      <t>コウジョ</t>
    </rPh>
    <rPh sb="4" eb="6">
      <t>ハンテイ</t>
    </rPh>
    <rPh sb="6" eb="7">
      <t>ヨウ</t>
    </rPh>
    <rPh sb="7" eb="9">
      <t>ショトク</t>
    </rPh>
    <phoneticPr fontId="2"/>
  </si>
  <si>
    <t>給与所得(調整前)</t>
    <rPh sb="0" eb="2">
      <t>キュウヨ</t>
    </rPh>
    <rPh sb="2" eb="4">
      <t>ショトク</t>
    </rPh>
    <rPh sb="5" eb="7">
      <t>チョウセイ</t>
    </rPh>
    <rPh sb="7" eb="8">
      <t>マエ</t>
    </rPh>
    <phoneticPr fontId="2"/>
  </si>
  <si>
    <t>調整控除(軽減用)</t>
    <rPh sb="0" eb="2">
      <t>チョウセイ</t>
    </rPh>
    <rPh sb="2" eb="4">
      <t>コウジョ</t>
    </rPh>
    <rPh sb="5" eb="7">
      <t>ケイゲン</t>
    </rPh>
    <rPh sb="7" eb="8">
      <t>ヨウ</t>
    </rPh>
    <phoneticPr fontId="2"/>
  </si>
  <si>
    <t>年金雑所得(軽減用)</t>
    <rPh sb="0" eb="2">
      <t>ネンキン</t>
    </rPh>
    <rPh sb="2" eb="3">
      <t>ザツ</t>
    </rPh>
    <rPh sb="3" eb="5">
      <t>ショトク</t>
    </rPh>
    <rPh sb="6" eb="8">
      <t>ケイゲン</t>
    </rPh>
    <rPh sb="8" eb="9">
      <t>ヨウ</t>
    </rPh>
    <phoneticPr fontId="2"/>
  </si>
  <si>
    <t>基礎控除判定用所得</t>
    <rPh sb="0" eb="2">
      <t>キソ</t>
    </rPh>
    <rPh sb="2" eb="4">
      <t>コウジョ</t>
    </rPh>
    <rPh sb="4" eb="6">
      <t>ハンテイ</t>
    </rPh>
    <rPh sb="6" eb="7">
      <t>ヨウ</t>
    </rPh>
    <rPh sb="7" eb="9">
      <t>ショトク</t>
    </rPh>
    <phoneticPr fontId="2"/>
  </si>
  <si>
    <t>＜国保独自＞</t>
    <rPh sb="1" eb="3">
      <t>コクホ</t>
    </rPh>
    <rPh sb="3" eb="5">
      <t>ドクジ</t>
    </rPh>
    <phoneticPr fontId="2"/>
  </si>
  <si>
    <t>＜税＞</t>
    <rPh sb="1" eb="2">
      <t>ゼイ</t>
    </rPh>
    <phoneticPr fontId="2"/>
  </si>
  <si>
    <t>基礎控除</t>
    <rPh sb="0" eb="2">
      <t>キソ</t>
    </rPh>
    <rPh sb="2" eb="4">
      <t>コウジョ</t>
    </rPh>
    <phoneticPr fontId="2"/>
  </si>
  <si>
    <t>年金雑所得</t>
    <rPh sb="0" eb="2">
      <t>ネンキン</t>
    </rPh>
    <rPh sb="2" eb="5">
      <t>ザツショトク</t>
    </rPh>
    <phoneticPr fontId="2"/>
  </si>
  <si>
    <t>＜国保独自＞</t>
    <rPh sb="1" eb="3">
      <t>コクホ</t>
    </rPh>
    <rPh sb="3" eb="5">
      <t>ドクジ</t>
    </rPh>
    <phoneticPr fontId="2"/>
  </si>
  <si>
    <t>＜税＞</t>
    <rPh sb="1" eb="2">
      <t>ゼイ</t>
    </rPh>
    <phoneticPr fontId="2"/>
  </si>
  <si>
    <t>（計算ズレが発生する事例）</t>
    <rPh sb="1" eb="3">
      <t>ケイサン</t>
    </rPh>
    <rPh sb="6" eb="8">
      <t>ハッセイ</t>
    </rPh>
    <rPh sb="10" eb="12">
      <t>ジレイ</t>
    </rPh>
    <phoneticPr fontId="2"/>
  </si>
  <si>
    <t>・年度途中の異動</t>
    <rPh sb="1" eb="3">
      <t>ネンド</t>
    </rPh>
    <rPh sb="3" eb="5">
      <t>トチュウ</t>
    </rPh>
    <rPh sb="6" eb="8">
      <t>イドウ</t>
    </rPh>
    <phoneticPr fontId="2"/>
  </si>
  <si>
    <t>・専従の割り戻し</t>
    <rPh sb="1" eb="3">
      <t>センジュウ</t>
    </rPh>
    <rPh sb="4" eb="5">
      <t>ワ</t>
    </rPh>
    <rPh sb="6" eb="7">
      <t>モド</t>
    </rPh>
    <phoneticPr fontId="2"/>
  </si>
  <si>
    <t>・単２／単４該当</t>
    <rPh sb="1" eb="2">
      <t>タン</t>
    </rPh>
    <rPh sb="4" eb="5">
      <t>タン</t>
    </rPh>
    <rPh sb="6" eb="8">
      <t>ガイトウ</t>
    </rPh>
    <phoneticPr fontId="2"/>
  </si>
  <si>
    <t>・旧国保世帯員がいる</t>
    <rPh sb="1" eb="2">
      <t>キュウ</t>
    </rPh>
    <rPh sb="2" eb="4">
      <t>コクホ</t>
    </rPh>
    <rPh sb="4" eb="6">
      <t>セタイ</t>
    </rPh>
    <rPh sb="6" eb="7">
      <t>イン</t>
    </rPh>
    <phoneticPr fontId="2"/>
  </si>
  <si>
    <t>←予備行：入力しても計算されません</t>
    <rPh sb="1" eb="3">
      <t>ヨビ</t>
    </rPh>
    <rPh sb="3" eb="4">
      <t>ギョウ</t>
    </rPh>
    <rPh sb="5" eb="7">
      <t>ニュウリョク</t>
    </rPh>
    <rPh sb="10" eb="12">
      <t>ケイサン</t>
    </rPh>
    <phoneticPr fontId="2"/>
  </si>
  <si>
    <t>←賦課対象所得の基礎控除は可変、入力シートで計算済み。</t>
    <rPh sb="1" eb="3">
      <t>フカ</t>
    </rPh>
    <rPh sb="3" eb="5">
      <t>タイショウ</t>
    </rPh>
    <rPh sb="5" eb="7">
      <t>ショトク</t>
    </rPh>
    <rPh sb="8" eb="10">
      <t>キソ</t>
    </rPh>
    <rPh sb="10" eb="12">
      <t>コウジョ</t>
    </rPh>
    <rPh sb="13" eb="15">
      <t>カヘン</t>
    </rPh>
    <rPh sb="16" eb="18">
      <t>ニュウリョク</t>
    </rPh>
    <rPh sb="22" eb="24">
      <t>ケイサン</t>
    </rPh>
    <rPh sb="24" eb="25">
      <t>スミ</t>
    </rPh>
    <phoneticPr fontId="2"/>
  </si>
  <si>
    <t>基礎控除前総所得</t>
    <rPh sb="0" eb="2">
      <t>キソ</t>
    </rPh>
    <rPh sb="2" eb="4">
      <t>コウジョ</t>
    </rPh>
    <rPh sb="4" eb="5">
      <t>マエ</t>
    </rPh>
    <rPh sb="5" eb="8">
      <t>ソウショトク</t>
    </rPh>
    <phoneticPr fontId="2"/>
  </si>
  <si>
    <t>計算（軽減判定所得）へ転送</t>
    <rPh sb="0" eb="2">
      <t>ケイサン</t>
    </rPh>
    <rPh sb="3" eb="5">
      <t>ケイゲン</t>
    </rPh>
    <rPh sb="5" eb="7">
      <t>ハンテイ</t>
    </rPh>
    <rPh sb="7" eb="9">
      <t>ショトク</t>
    </rPh>
    <rPh sb="11" eb="13">
      <t>テンソウ</t>
    </rPh>
    <phoneticPr fontId="2"/>
  </si>
  <si>
    <t>　※軽減判定所得は</t>
    <phoneticPr fontId="2"/>
  </si>
  <si>
    <t>　　入力シートで計算済み。</t>
    <phoneticPr fontId="2"/>
  </si>
  <si>
    <t>入力シートの「主たる生計維持者」指定</t>
    <rPh sb="0" eb="2">
      <t>ニュウリョク</t>
    </rPh>
    <rPh sb="7" eb="8">
      <t>シュ</t>
    </rPh>
    <rPh sb="10" eb="12">
      <t>セイケイ</t>
    </rPh>
    <rPh sb="12" eb="14">
      <t>イジ</t>
    </rPh>
    <rPh sb="14" eb="15">
      <t>シャ</t>
    </rPh>
    <rPh sb="16" eb="18">
      <t>シテイ</t>
    </rPh>
    <phoneticPr fontId="2"/>
  </si>
  <si>
    <t>（非自発該当選択、給与収入・所得行の自動入力用）</t>
    <rPh sb="1" eb="2">
      <t>ヒ</t>
    </rPh>
    <rPh sb="2" eb="4">
      <t>ジハツ</t>
    </rPh>
    <rPh sb="4" eb="6">
      <t>ガイトウ</t>
    </rPh>
    <rPh sb="6" eb="8">
      <t>センタク</t>
    </rPh>
    <rPh sb="9" eb="11">
      <t>キュウヨ</t>
    </rPh>
    <rPh sb="11" eb="13">
      <t>シュウニュウ</t>
    </rPh>
    <rPh sb="14" eb="16">
      <t>ショトク</t>
    </rPh>
    <rPh sb="16" eb="17">
      <t>ギョウ</t>
    </rPh>
    <rPh sb="18" eb="20">
      <t>ジドウ</t>
    </rPh>
    <rPh sb="20" eb="22">
      <t>ニュウリョク</t>
    </rPh>
    <rPh sb="22" eb="23">
      <t>ヨウ</t>
    </rPh>
    <phoneticPr fontId="2"/>
  </si>
  <si>
    <t>計算(所得)へ転送</t>
    <rPh sb="0" eb="2">
      <t>ケイサン</t>
    </rPh>
    <rPh sb="3" eb="5">
      <t>ショトク</t>
    </rPh>
    <rPh sb="7" eb="9">
      <t>テンソウ</t>
    </rPh>
    <phoneticPr fontId="2"/>
  </si>
  <si>
    <r>
      <t>←非自発適用</t>
    </r>
    <r>
      <rPr>
        <b/>
        <u/>
        <sz val="9"/>
        <rFont val="ＭＳ Ｐゴシック"/>
        <family val="3"/>
        <charset val="128"/>
      </rPr>
      <t>前</t>
    </r>
    <r>
      <rPr>
        <sz val="9"/>
        <rFont val="ＭＳ Ｐゴシック"/>
        <family val="3"/>
        <charset val="128"/>
      </rPr>
      <t>＆</t>
    </r>
    <rPh sb="1" eb="2">
      <t>ヒ</t>
    </rPh>
    <rPh sb="2" eb="4">
      <t>ジハツ</t>
    </rPh>
    <rPh sb="4" eb="6">
      <t>テキヨウ</t>
    </rPh>
    <rPh sb="6" eb="7">
      <t>マエ</t>
    </rPh>
    <phoneticPr fontId="2"/>
  </si>
  <si>
    <r>
      <t>　 調整控除</t>
    </r>
    <r>
      <rPr>
        <b/>
        <u/>
        <sz val="9"/>
        <rFont val="ＭＳ Ｐゴシック"/>
        <family val="3"/>
        <charset val="128"/>
      </rPr>
      <t>後</t>
    </r>
    <rPh sb="2" eb="4">
      <t>チョウセイ</t>
    </rPh>
    <rPh sb="4" eb="6">
      <t>コウジョ</t>
    </rPh>
    <rPh sb="6" eb="7">
      <t>ゴ</t>
    </rPh>
    <phoneticPr fontId="2"/>
  </si>
  <si>
    <r>
      <t>（非自発適用</t>
    </r>
    <r>
      <rPr>
        <b/>
        <u/>
        <sz val="9"/>
        <rFont val="ＭＳ Ｐゴシック"/>
        <family val="3"/>
        <charset val="128"/>
      </rPr>
      <t>前</t>
    </r>
    <r>
      <rPr>
        <sz val="9"/>
        <rFont val="ＭＳ Ｐゴシック"/>
        <family val="3"/>
        <charset val="128"/>
      </rPr>
      <t>＆調整控除</t>
    </r>
    <r>
      <rPr>
        <b/>
        <u/>
        <sz val="9"/>
        <rFont val="ＭＳ Ｐゴシック"/>
        <family val="3"/>
        <charset val="128"/>
      </rPr>
      <t>後</t>
    </r>
    <r>
      <rPr>
        <b/>
        <sz val="9"/>
        <rFont val="ＭＳ Ｐゴシック"/>
        <family val="3"/>
        <charset val="128"/>
      </rPr>
      <t>→</t>
    </r>
    <r>
      <rPr>
        <sz val="9"/>
        <rFont val="ＭＳ Ｐゴシック"/>
        <family val="3"/>
        <charset val="128"/>
      </rPr>
      <t>）</t>
    </r>
    <rPh sb="1" eb="2">
      <t>ヒ</t>
    </rPh>
    <rPh sb="2" eb="4">
      <t>ジハツ</t>
    </rPh>
    <rPh sb="4" eb="6">
      <t>テキヨウ</t>
    </rPh>
    <rPh sb="6" eb="7">
      <t>マエ</t>
    </rPh>
    <rPh sb="8" eb="10">
      <t>チョウセイ</t>
    </rPh>
    <rPh sb="10" eb="12">
      <t>コウジョ</t>
    </rPh>
    <rPh sb="12" eb="13">
      <t>ゴ</t>
    </rPh>
    <phoneticPr fontId="2"/>
  </si>
  <si>
    <r>
      <t>（←非自発適用</t>
    </r>
    <r>
      <rPr>
        <b/>
        <u/>
        <sz val="9"/>
        <rFont val="ＭＳ Ｐゴシック"/>
        <family val="3"/>
        <charset val="128"/>
      </rPr>
      <t>後</t>
    </r>
    <r>
      <rPr>
        <sz val="9"/>
        <rFont val="ＭＳ Ｐゴシック"/>
        <family val="3"/>
        <charset val="128"/>
      </rPr>
      <t>＆調整控除</t>
    </r>
    <r>
      <rPr>
        <b/>
        <u/>
        <sz val="9"/>
        <rFont val="ＭＳ Ｐゴシック"/>
        <family val="3"/>
        <charset val="128"/>
      </rPr>
      <t>後</t>
    </r>
    <r>
      <rPr>
        <sz val="9"/>
        <rFont val="ＭＳ Ｐゴシック"/>
        <family val="3"/>
        <charset val="128"/>
      </rPr>
      <t>）</t>
    </r>
    <rPh sb="2" eb="3">
      <t>ヒ</t>
    </rPh>
    <rPh sb="3" eb="5">
      <t>ジハツ</t>
    </rPh>
    <rPh sb="5" eb="7">
      <t>テキヨウ</t>
    </rPh>
    <rPh sb="7" eb="8">
      <t>ゴ</t>
    </rPh>
    <rPh sb="9" eb="11">
      <t>チョウセイ</t>
    </rPh>
    <rPh sb="11" eb="13">
      <t>コウジョ</t>
    </rPh>
    <rPh sb="13" eb="14">
      <t>ゴ</t>
    </rPh>
    <phoneticPr fontId="2"/>
  </si>
  <si>
    <t>軽減基礎控除額</t>
    <rPh sb="0" eb="2">
      <t>ケイゲン</t>
    </rPh>
    <rPh sb="2" eb="4">
      <t>キソ</t>
    </rPh>
    <rPh sb="4" eb="6">
      <t>コウジョ</t>
    </rPh>
    <rPh sb="6" eb="7">
      <t>ガク</t>
    </rPh>
    <phoneticPr fontId="2"/>
  </si>
  <si>
    <t>軽減年金控除額</t>
    <rPh sb="0" eb="2">
      <t>ケイゲン</t>
    </rPh>
    <rPh sb="2" eb="4">
      <t>ネンキン</t>
    </rPh>
    <rPh sb="4" eb="6">
      <t>コウジョ</t>
    </rPh>
    <rPh sb="6" eb="7">
      <t>ガク</t>
    </rPh>
    <phoneticPr fontId="2"/>
  </si>
  <si>
    <r>
      <t>非自発は入力シートH列から自動判定します。</t>
    </r>
    <r>
      <rPr>
        <sz val="11"/>
        <color theme="1"/>
        <rFont val="ＭＳ Ｐゴシック"/>
        <family val="3"/>
        <charset val="128"/>
      </rPr>
      <t/>
    </r>
    <rPh sb="0" eb="1">
      <t>ヒ</t>
    </rPh>
    <rPh sb="1" eb="3">
      <t>ジハツ</t>
    </rPh>
    <rPh sb="4" eb="6">
      <t>ニュウリョク</t>
    </rPh>
    <rPh sb="10" eb="11">
      <t>レツ</t>
    </rPh>
    <rPh sb="13" eb="15">
      <t>ジドウ</t>
    </rPh>
    <rPh sb="15" eb="17">
      <t>ハンテイ</t>
    </rPh>
    <phoneticPr fontId="2"/>
  </si>
  <si>
    <t>障害控除F</t>
    <rPh sb="0" eb="2">
      <t>ショウガイ</t>
    </rPh>
    <rPh sb="2" eb="4">
      <t>コウジョ</t>
    </rPh>
    <phoneticPr fontId="2"/>
  </si>
  <si>
    <t>(該当は1)</t>
    <phoneticPr fontId="2"/>
  </si>
  <si>
    <t>23歳未満扶養F</t>
    <rPh sb="2" eb="3">
      <t>サイ</t>
    </rPh>
    <rPh sb="3" eb="5">
      <t>ミマン</t>
    </rPh>
    <rPh sb="5" eb="7">
      <t>フヨウ</t>
    </rPh>
    <phoneticPr fontId="2"/>
  </si>
  <si>
    <t>障害控除額</t>
    <rPh sb="0" eb="2">
      <t>ショウガイ</t>
    </rPh>
    <rPh sb="2" eb="4">
      <t>コウジョ</t>
    </rPh>
    <rPh sb="4" eb="5">
      <t>ガク</t>
    </rPh>
    <phoneticPr fontId="2"/>
  </si>
  <si>
    <t>23歳未満扶養控除額</t>
    <rPh sb="2" eb="3">
      <t>サイ</t>
    </rPh>
    <rPh sb="3" eb="5">
      <t>ミマン</t>
    </rPh>
    <rPh sb="5" eb="7">
      <t>フヨウ</t>
    </rPh>
    <rPh sb="7" eb="9">
      <t>コウジョ</t>
    </rPh>
    <rPh sb="9" eb="10">
      <t>ガク</t>
    </rPh>
    <phoneticPr fontId="2"/>
  </si>
  <si>
    <t>非自発軽減(該当は1)</t>
    <rPh sb="0" eb="1">
      <t>ヒ</t>
    </rPh>
    <rPh sb="1" eb="3">
      <t>ジハツ</t>
    </rPh>
    <rPh sb="3" eb="5">
      <t>ケイゲン</t>
    </rPh>
    <rPh sb="6" eb="8">
      <t>ガイトウ</t>
    </rPh>
    <phoneticPr fontId="2"/>
  </si>
  <si>
    <t>年金所得</t>
    <rPh sb="0" eb="2">
      <t>ネンキン</t>
    </rPh>
    <rPh sb="2" eb="4">
      <t>ショトク</t>
    </rPh>
    <phoneticPr fontId="2"/>
  </si>
  <si>
    <t>世帯主</t>
    <rPh sb="0" eb="2">
      <t>セタイ</t>
    </rPh>
    <rPh sb="2" eb="3">
      <t>ヌシ</t>
    </rPh>
    <phoneticPr fontId="2"/>
  </si>
  <si>
    <t>加入世帯員１</t>
    <rPh sb="0" eb="2">
      <t>カニュウ</t>
    </rPh>
    <rPh sb="2" eb="4">
      <t>セタイ</t>
    </rPh>
    <rPh sb="4" eb="5">
      <t>イン</t>
    </rPh>
    <phoneticPr fontId="2"/>
  </si>
  <si>
    <t>加入世帯員２</t>
    <phoneticPr fontId="2"/>
  </si>
  <si>
    <t>加入世帯員３</t>
    <phoneticPr fontId="2"/>
  </si>
  <si>
    <t>加入世帯員４</t>
    <phoneticPr fontId="2"/>
  </si>
  <si>
    <t>加入世帯員５</t>
    <phoneticPr fontId="2"/>
  </si>
  <si>
    <r>
      <rPr>
        <sz val="11"/>
        <rFont val="ＭＳ Ｐゴシック"/>
        <family val="3"/>
        <charset val="128"/>
      </rPr>
      <t>1月2日以降65歳年到F</t>
    </r>
    <rPh sb="1" eb="2">
      <t>ガツ</t>
    </rPh>
    <rPh sb="3" eb="4">
      <t>ニチ</t>
    </rPh>
    <rPh sb="4" eb="6">
      <t>イコウ</t>
    </rPh>
    <rPh sb="8" eb="9">
      <t>サイ</t>
    </rPh>
    <rPh sb="9" eb="10">
      <t>ネン</t>
    </rPh>
    <rPh sb="10" eb="11">
      <t>トウ</t>
    </rPh>
    <phoneticPr fontId="2"/>
  </si>
  <si>
    <t>(1月2日以降に65歳年到する場合＝年金所得のみ64歳以下で計算したい場合は1)</t>
    <rPh sb="2" eb="3">
      <t>ガツ</t>
    </rPh>
    <rPh sb="4" eb="5">
      <t>ニチ</t>
    </rPh>
    <rPh sb="5" eb="7">
      <t>イコウ</t>
    </rPh>
    <rPh sb="27" eb="29">
      <t>イカ</t>
    </rPh>
    <rPh sb="30" eb="32">
      <t>ケイサン</t>
    </rPh>
    <phoneticPr fontId="2"/>
  </si>
  <si>
    <t>旧ただし書き所得</t>
    <phoneticPr fontId="2"/>
  </si>
  <si>
    <t>(賦課対象所得)</t>
    <rPh sb="1" eb="3">
      <t>フカ</t>
    </rPh>
    <rPh sb="3" eb="5">
      <t>タイショウ</t>
    </rPh>
    <rPh sb="5" eb="7">
      <t>ショトク</t>
    </rPh>
    <phoneticPr fontId="2"/>
  </si>
  <si>
    <t>（※1月2日以降の65歳年到者は64歳以下の年金控除で計算する等）</t>
    <phoneticPr fontId="2"/>
  </si>
  <si>
    <t>軽減指定</t>
    <rPh sb="0" eb="2">
      <t>ケイゲン</t>
    </rPh>
    <rPh sb="2" eb="4">
      <t>シテイ</t>
    </rPh>
    <phoneticPr fontId="2"/>
  </si>
  <si>
    <r>
      <t>非自発適用</t>
    </r>
    <r>
      <rPr>
        <b/>
        <u/>
        <sz val="11"/>
        <rFont val="ＭＳ Ｐゴシック"/>
        <family val="3"/>
        <charset val="128"/>
      </rPr>
      <t>前</t>
    </r>
    <r>
      <rPr>
        <sz val="11"/>
        <rFont val="ＭＳ Ｐゴシック"/>
        <family val="3"/>
        <charset val="128"/>
      </rPr>
      <t>＆</t>
    </r>
    <r>
      <rPr>
        <b/>
        <sz val="11"/>
        <rFont val="ＭＳ Ｐゴシック"/>
        <family val="3"/>
        <charset val="128"/>
      </rPr>
      <t>賦課対象年度と同じ</t>
    </r>
    <r>
      <rPr>
        <sz val="11"/>
        <rFont val="ＭＳ Ｐゴシック"/>
        <family val="3"/>
        <charset val="128"/>
      </rPr>
      <t>控除計算※　→→→→→→→→→　現在の世帯所得合計</t>
    </r>
    <rPh sb="0" eb="1">
      <t>ヒ</t>
    </rPh>
    <rPh sb="1" eb="3">
      <t>ジハツ</t>
    </rPh>
    <rPh sb="3" eb="5">
      <t>テキヨウ</t>
    </rPh>
    <rPh sb="5" eb="6">
      <t>マエ</t>
    </rPh>
    <rPh sb="7" eb="9">
      <t>フカ</t>
    </rPh>
    <rPh sb="9" eb="11">
      <t>タイショウ</t>
    </rPh>
    <rPh sb="11" eb="13">
      <t>ネンド</t>
    </rPh>
    <rPh sb="14" eb="15">
      <t>オナ</t>
    </rPh>
    <rPh sb="16" eb="18">
      <t>コウジョ</t>
    </rPh>
    <rPh sb="18" eb="20">
      <t>ケイサン</t>
    </rPh>
    <rPh sb="32" eb="34">
      <t>ゲンザイ</t>
    </rPh>
    <rPh sb="35" eb="37">
      <t>セタイ</t>
    </rPh>
    <rPh sb="37" eb="39">
      <t>ショトク</t>
    </rPh>
    <rPh sb="39" eb="41">
      <t>ゴウケイ</t>
    </rPh>
    <phoneticPr fontId="2"/>
  </si>
  <si>
    <t>　　　　↑通常は空白。軽減割合を指定したい場合は、割合を「7」「5」「2」「0」の数値で入力。</t>
    <rPh sb="11" eb="13">
      <t>ケイゲン</t>
    </rPh>
    <rPh sb="13" eb="15">
      <t>ワリアイ</t>
    </rPh>
    <rPh sb="16" eb="18">
      <t>シテイ</t>
    </rPh>
    <rPh sb="21" eb="23">
      <t>バアイ</t>
    </rPh>
    <rPh sb="25" eb="26">
      <t>ワリ</t>
    </rPh>
    <rPh sb="26" eb="27">
      <t>ゴウ</t>
    </rPh>
    <rPh sb="41" eb="43">
      <t>スウチ</t>
    </rPh>
    <rPh sb="44" eb="46">
      <t>ニュウリョク</t>
    </rPh>
    <phoneticPr fontId="2"/>
  </si>
  <si>
    <t>軽減割合(強制指定優先)</t>
    <rPh sb="0" eb="2">
      <t>ケイゲン</t>
    </rPh>
    <rPh sb="2" eb="4">
      <t>ワリアイ</t>
    </rPh>
    <rPh sb="5" eb="7">
      <t>キョウセイ</t>
    </rPh>
    <rPh sb="7" eb="9">
      <t>シテイ</t>
    </rPh>
    <rPh sb="9" eb="11">
      <t>ユウセン</t>
    </rPh>
    <phoneticPr fontId="2"/>
  </si>
  <si>
    <t>Ｄ：減免割合</t>
    <rPh sb="2" eb="4">
      <t>ゲンメン</t>
    </rPh>
    <rPh sb="4" eb="6">
      <t>ワリアイ</t>
    </rPh>
    <phoneticPr fontId="2"/>
  </si>
  <si>
    <t>（*退職所得は除く）</t>
    <rPh sb="2" eb="4">
      <t>タイショク</t>
    </rPh>
    <rPh sb="4" eb="6">
      <t>ショトク</t>
    </rPh>
    <rPh sb="7" eb="8">
      <t>ノゾ</t>
    </rPh>
    <phoneticPr fontId="2"/>
  </si>
  <si>
    <t>↑加入T</t>
    <rPh sb="1" eb="3">
      <t>カニュウ</t>
    </rPh>
    <phoneticPr fontId="2"/>
  </si>
  <si>
    <t>↑年齢T</t>
    <rPh sb="1" eb="3">
      <t>ネンレイ</t>
    </rPh>
    <phoneticPr fontId="2"/>
  </si>
  <si>
    <t>↑資格T</t>
    <rPh sb="1" eb="3">
      <t>シカク</t>
    </rPh>
    <phoneticPr fontId="2"/>
  </si>
  <si>
    <t>小学生～39歳以下</t>
    <rPh sb="0" eb="3">
      <t>ショウガクセイ</t>
    </rPh>
    <rPh sb="6" eb="9">
      <t>サイイカ</t>
    </rPh>
    <phoneticPr fontId="2"/>
  </si>
  <si>
    <t>未就学児</t>
    <rPh sb="0" eb="4">
      <t>ミシュウガクジ</t>
    </rPh>
    <phoneticPr fontId="2"/>
  </si>
  <si>
    <t>0,1</t>
    <phoneticPr fontId="2"/>
  </si>
  <si>
    <t>→</t>
    <phoneticPr fontId="2"/>
  </si>
  <si>
    <t>加入CD,年齢CD</t>
    <rPh sb="0" eb="2">
      <t>カニュウ</t>
    </rPh>
    <rPh sb="5" eb="7">
      <t>ネンレイ</t>
    </rPh>
    <phoneticPr fontId="2"/>
  </si>
  <si>
    <t>1,1</t>
    <phoneticPr fontId="2"/>
  </si>
  <si>
    <t>2,2</t>
    <phoneticPr fontId="2"/>
  </si>
  <si>
    <t>-,0</t>
    <phoneticPr fontId="2"/>
  </si>
  <si>
    <t>-,3</t>
    <phoneticPr fontId="2"/>
  </si>
  <si>
    <t>-,4</t>
    <phoneticPr fontId="2"/>
  </si>
  <si>
    <t>令和4年度(暫定)</t>
    <rPh sb="6" eb="8">
      <t>ザンテイ</t>
    </rPh>
    <phoneticPr fontId="2"/>
  </si>
  <si>
    <t>　←年度表示入力エリア</t>
    <rPh sb="2" eb="4">
      <t>ネンド</t>
    </rPh>
    <rPh sb="4" eb="6">
      <t>ヒョウジ</t>
    </rPh>
    <rPh sb="6" eb="8">
      <t>ニュウリョク</t>
    </rPh>
    <phoneticPr fontId="2"/>
  </si>
  <si>
    <t>18行目以下はＨＰ公開時非表示化エリア↓</t>
    <rPh sb="2" eb="4">
      <t>ギョウメ</t>
    </rPh>
    <rPh sb="4" eb="6">
      <t>イカ</t>
    </rPh>
    <rPh sb="9" eb="11">
      <t>コウカイ</t>
    </rPh>
    <rPh sb="11" eb="12">
      <t>ジ</t>
    </rPh>
    <rPh sb="12" eb="15">
      <t>ヒヒョウジ</t>
    </rPh>
    <rPh sb="15" eb="16">
      <t>カ</t>
    </rPh>
    <phoneticPr fontId="2"/>
  </si>
  <si>
    <t>I 列から右はＨＰ公開時非表示化エリア</t>
    <rPh sb="2" eb="3">
      <t>レツ</t>
    </rPh>
    <rPh sb="5" eb="6">
      <t>ミギ</t>
    </rPh>
    <phoneticPr fontId="2"/>
  </si>
  <si>
    <t>-</t>
    <phoneticPr fontId="2"/>
  </si>
  <si>
    <t>合計</t>
    <rPh sb="0" eb="2">
      <t>ゴウケイ</t>
    </rPh>
    <phoneticPr fontId="2"/>
  </si>
  <si>
    <t>切捨　→</t>
    <rPh sb="0" eb="2">
      <t>キリス</t>
    </rPh>
    <phoneticPr fontId="2"/>
  </si>
  <si>
    <t>切上　→</t>
    <rPh sb="0" eb="2">
      <t>キリア</t>
    </rPh>
    <phoneticPr fontId="2"/>
  </si>
  <si>
    <t>②所得割額</t>
    <rPh sb="1" eb="3">
      <t>ショトク</t>
    </rPh>
    <rPh sb="3" eb="4">
      <t>ワリ</t>
    </rPh>
    <rPh sb="4" eb="5">
      <t>ガク</t>
    </rPh>
    <phoneticPr fontId="2"/>
  </si>
  <si>
    <t>④均等割額</t>
    <rPh sb="1" eb="4">
      <t>キントウワリ</t>
    </rPh>
    <rPh sb="4" eb="5">
      <t>ガク</t>
    </rPh>
    <phoneticPr fontId="2"/>
  </si>
  <si>
    <t>⑤平等割額</t>
    <rPh sb="1" eb="3">
      <t>ビョウドウ</t>
    </rPh>
    <rPh sb="3" eb="4">
      <t>ワリ</t>
    </rPh>
    <rPh sb="4" eb="5">
      <t>ガク</t>
    </rPh>
    <phoneticPr fontId="2"/>
  </si>
  <si>
    <t>⑥算出額</t>
    <rPh sb="1" eb="3">
      <t>サンシュツ</t>
    </rPh>
    <rPh sb="3" eb="4">
      <t>ガク</t>
    </rPh>
    <phoneticPr fontId="2"/>
  </si>
  <si>
    <t>⑧軽減均等割額▲</t>
    <rPh sb="1" eb="3">
      <t>ケイゲン</t>
    </rPh>
    <rPh sb="3" eb="6">
      <t>キントウワリ</t>
    </rPh>
    <rPh sb="6" eb="7">
      <t>ガク</t>
    </rPh>
    <phoneticPr fontId="2"/>
  </si>
  <si>
    <t>⑨軽減平等割額▲</t>
    <rPh sb="1" eb="3">
      <t>ケイゲン</t>
    </rPh>
    <rPh sb="3" eb="5">
      <t>ビョウドウ</t>
    </rPh>
    <rPh sb="5" eb="6">
      <t>ワリ</t>
    </rPh>
    <rPh sb="6" eb="7">
      <t>ガク</t>
    </rPh>
    <phoneticPr fontId="2"/>
  </si>
  <si>
    <t>⑩子ども軽減額▲</t>
    <rPh sb="1" eb="2">
      <t>コ</t>
    </rPh>
    <rPh sb="4" eb="6">
      <t>ケイゲン</t>
    </rPh>
    <rPh sb="6" eb="7">
      <t>ガク</t>
    </rPh>
    <phoneticPr fontId="2"/>
  </si>
  <si>
    <t>⑫条例減免額▲</t>
    <rPh sb="1" eb="3">
      <t>ジョウレイ</t>
    </rPh>
    <rPh sb="3" eb="5">
      <t>ゲンメン</t>
    </rPh>
    <rPh sb="5" eb="6">
      <t>ガク</t>
    </rPh>
    <phoneticPr fontId="2"/>
  </si>
  <si>
    <t>⑭控除額計▲</t>
    <rPh sb="1" eb="3">
      <t>コウジョ</t>
    </rPh>
    <rPh sb="3" eb="4">
      <t>ガク</t>
    </rPh>
    <rPh sb="4" eb="5">
      <t>ケイ</t>
    </rPh>
    <phoneticPr fontId="2"/>
  </si>
  <si>
    <t>⑬限度超過額▲</t>
    <rPh sb="1" eb="3">
      <t>ゲンド</t>
    </rPh>
    <rPh sb="3" eb="5">
      <t>チョウカ</t>
    </rPh>
    <rPh sb="5" eb="6">
      <t>ガク</t>
    </rPh>
    <phoneticPr fontId="2"/>
  </si>
  <si>
    <t>→</t>
    <phoneticPr fontId="2"/>
  </si>
  <si>
    <t>年間保険料額</t>
    <rPh sb="0" eb="2">
      <t>ネンカン</t>
    </rPh>
    <rPh sb="2" eb="5">
      <t>ホケンリョウ</t>
    </rPh>
    <rPh sb="5" eb="6">
      <t>ガク</t>
    </rPh>
    <phoneticPr fontId="2"/>
  </si>
  <si>
    <t>調整　→</t>
    <rPh sb="0" eb="2">
      <t>チョウセイ</t>
    </rPh>
    <phoneticPr fontId="2"/>
  </si>
  <si>
    <t>▲均等割政令軽減医療分（個人別）</t>
    <rPh sb="1" eb="4">
      <t>キントウワ</t>
    </rPh>
    <rPh sb="4" eb="6">
      <t>セイレイ</t>
    </rPh>
    <rPh sb="6" eb="8">
      <t>ケイゲン</t>
    </rPh>
    <rPh sb="8" eb="10">
      <t>イリョウ</t>
    </rPh>
    <rPh sb="10" eb="11">
      <t>ブン</t>
    </rPh>
    <rPh sb="12" eb="14">
      <t>コジン</t>
    </rPh>
    <rPh sb="14" eb="15">
      <t>ベツ</t>
    </rPh>
    <phoneticPr fontId="2"/>
  </si>
  <si>
    <t>▲均等割政令軽減支援分（個人別）</t>
    <rPh sb="8" eb="10">
      <t>シエン</t>
    </rPh>
    <rPh sb="10" eb="11">
      <t>ブン</t>
    </rPh>
    <rPh sb="12" eb="14">
      <t>コジン</t>
    </rPh>
    <rPh sb="14" eb="15">
      <t>ベツ</t>
    </rPh>
    <phoneticPr fontId="2"/>
  </si>
  <si>
    <t>▲均等割政令軽減介護分（個人別）</t>
    <rPh sb="8" eb="10">
      <t>カイゴ</t>
    </rPh>
    <rPh sb="10" eb="11">
      <t>ブン</t>
    </rPh>
    <rPh sb="12" eb="14">
      <t>コジン</t>
    </rPh>
    <rPh sb="14" eb="15">
      <t>ベツ</t>
    </rPh>
    <phoneticPr fontId="2"/>
  </si>
  <si>
    <t>▲平等割政令軽減医療分（個人別）</t>
    <rPh sb="1" eb="3">
      <t>ビョウドウ</t>
    </rPh>
    <rPh sb="3" eb="4">
      <t>ワ</t>
    </rPh>
    <rPh sb="8" eb="10">
      <t>イリョウ</t>
    </rPh>
    <rPh sb="10" eb="11">
      <t>ブン</t>
    </rPh>
    <rPh sb="12" eb="14">
      <t>コジン</t>
    </rPh>
    <rPh sb="14" eb="15">
      <t>ベツ</t>
    </rPh>
    <phoneticPr fontId="2"/>
  </si>
  <si>
    <t>▲平等割政令軽減支援分（個人別）</t>
    <rPh sb="1" eb="3">
      <t>ビョウドウ</t>
    </rPh>
    <rPh sb="8" eb="10">
      <t>シエン</t>
    </rPh>
    <rPh sb="10" eb="11">
      <t>ブン</t>
    </rPh>
    <rPh sb="12" eb="14">
      <t>コジン</t>
    </rPh>
    <rPh sb="14" eb="15">
      <t>ベツ</t>
    </rPh>
    <phoneticPr fontId="2"/>
  </si>
  <si>
    <t>端数切捨後の保険料実額</t>
    <rPh sb="0" eb="2">
      <t>ハスウ</t>
    </rPh>
    <rPh sb="2" eb="4">
      <t>キリス</t>
    </rPh>
    <rPh sb="4" eb="5">
      <t>ゴ</t>
    </rPh>
    <rPh sb="6" eb="9">
      <t>ホケンリョウ</t>
    </rPh>
    <rPh sb="9" eb="11">
      <t>ジツガク</t>
    </rPh>
    <phoneticPr fontId="2"/>
  </si>
  <si>
    <t>▲条例減免額医療分（個人単位/月別）</t>
    <rPh sb="1" eb="3">
      <t>ジョウレイ</t>
    </rPh>
    <rPh sb="3" eb="5">
      <t>ゲンメン</t>
    </rPh>
    <rPh sb="5" eb="6">
      <t>ガク</t>
    </rPh>
    <rPh sb="6" eb="8">
      <t>イリョウ</t>
    </rPh>
    <rPh sb="8" eb="9">
      <t>ブン</t>
    </rPh>
    <rPh sb="10" eb="12">
      <t>コジン</t>
    </rPh>
    <rPh sb="12" eb="14">
      <t>タンイ</t>
    </rPh>
    <rPh sb="15" eb="17">
      <t>ツキベツ</t>
    </rPh>
    <phoneticPr fontId="2"/>
  </si>
  <si>
    <t>▲条例減免額支援分（個人単位/月別）</t>
    <rPh sb="6" eb="8">
      <t>シエン</t>
    </rPh>
    <rPh sb="8" eb="9">
      <t>ブン</t>
    </rPh>
    <rPh sb="10" eb="12">
      <t>コジン</t>
    </rPh>
    <rPh sb="12" eb="14">
      <t>タンイ</t>
    </rPh>
    <phoneticPr fontId="2"/>
  </si>
  <si>
    <t>▲条例減免額介護分（個人単位/月別）</t>
    <rPh sb="6" eb="8">
      <t>カイゴ</t>
    </rPh>
    <rPh sb="8" eb="9">
      <t>ブン</t>
    </rPh>
    <rPh sb="10" eb="12">
      <t>コジン</t>
    </rPh>
    <rPh sb="12" eb="14">
      <t>タンイ</t>
    </rPh>
    <phoneticPr fontId="2"/>
  </si>
  <si>
    <t>本来均等</t>
    <rPh sb="0" eb="2">
      <t>ホンライ</t>
    </rPh>
    <rPh sb="2" eb="4">
      <t>キントウ</t>
    </rPh>
    <phoneticPr fontId="2"/>
  </si>
  <si>
    <t>軽減額</t>
    <rPh sb="0" eb="2">
      <t>ケイゲン</t>
    </rPh>
    <rPh sb="2" eb="3">
      <t>ガク</t>
    </rPh>
    <phoneticPr fontId="2"/>
  </si>
  <si>
    <t>本来平等</t>
    <rPh sb="0" eb="2">
      <t>ホンライ</t>
    </rPh>
    <rPh sb="2" eb="4">
      <t>ビョウドウ</t>
    </rPh>
    <phoneticPr fontId="2"/>
  </si>
  <si>
    <t>医療分所得割（個人単位/年間）</t>
    <rPh sb="0" eb="2">
      <t>イリョウ</t>
    </rPh>
    <rPh sb="2" eb="3">
      <t>ブン</t>
    </rPh>
    <rPh sb="3" eb="5">
      <t>ショトク</t>
    </rPh>
    <rPh sb="5" eb="6">
      <t>ワリ</t>
    </rPh>
    <rPh sb="7" eb="9">
      <t>コジン</t>
    </rPh>
    <rPh sb="9" eb="11">
      <t>タンイ</t>
    </rPh>
    <rPh sb="12" eb="14">
      <t>ネンカン</t>
    </rPh>
    <phoneticPr fontId="2"/>
  </si>
  <si>
    <t>支援分所得割（個人単位/年間）</t>
    <rPh sb="0" eb="2">
      <t>シエン</t>
    </rPh>
    <rPh sb="2" eb="3">
      <t>ブン</t>
    </rPh>
    <rPh sb="3" eb="5">
      <t>ショトク</t>
    </rPh>
    <rPh sb="5" eb="6">
      <t>ワリ</t>
    </rPh>
    <rPh sb="7" eb="9">
      <t>コジン</t>
    </rPh>
    <rPh sb="9" eb="11">
      <t>タンイ</t>
    </rPh>
    <phoneticPr fontId="2"/>
  </si>
  <si>
    <t>介護分所得割（個人単位/年間）</t>
    <rPh sb="0" eb="2">
      <t>カイゴ</t>
    </rPh>
    <rPh sb="2" eb="3">
      <t>ブン</t>
    </rPh>
    <rPh sb="3" eb="5">
      <t>ショトク</t>
    </rPh>
    <rPh sb="5" eb="6">
      <t>ワリ</t>
    </rPh>
    <rPh sb="7" eb="9">
      <t>コジン</t>
    </rPh>
    <rPh sb="9" eb="11">
      <t>タンイ</t>
    </rPh>
    <phoneticPr fontId="2"/>
  </si>
  <si>
    <t>介護分均等割（個人単位/年間）</t>
    <rPh sb="0" eb="2">
      <t>カイゴ</t>
    </rPh>
    <rPh sb="2" eb="3">
      <t>ブン</t>
    </rPh>
    <rPh sb="3" eb="5">
      <t>キントウ</t>
    </rPh>
    <rPh sb="5" eb="6">
      <t>ワリ</t>
    </rPh>
    <rPh sb="7" eb="9">
      <t>コジン</t>
    </rPh>
    <rPh sb="9" eb="11">
      <t>タンイ</t>
    </rPh>
    <phoneticPr fontId="2"/>
  </si>
  <si>
    <t>支援分均等割（個人単位/年間）</t>
    <rPh sb="0" eb="2">
      <t>シエン</t>
    </rPh>
    <rPh sb="2" eb="3">
      <t>ブン</t>
    </rPh>
    <rPh sb="3" eb="5">
      <t>キントウ</t>
    </rPh>
    <rPh sb="5" eb="6">
      <t>ワリ</t>
    </rPh>
    <rPh sb="7" eb="9">
      <t>コジン</t>
    </rPh>
    <rPh sb="9" eb="11">
      <t>タンイ</t>
    </rPh>
    <phoneticPr fontId="2"/>
  </si>
  <si>
    <t>医療分均等割（個人単位/年間）</t>
    <rPh sb="0" eb="2">
      <t>イリョウ</t>
    </rPh>
    <rPh sb="2" eb="3">
      <t>ブン</t>
    </rPh>
    <rPh sb="3" eb="5">
      <t>キントウ</t>
    </rPh>
    <rPh sb="5" eb="6">
      <t>ワリ</t>
    </rPh>
    <rPh sb="7" eb="9">
      <t>コジン</t>
    </rPh>
    <rPh sb="9" eb="11">
      <t>タンイ</t>
    </rPh>
    <phoneticPr fontId="2"/>
  </si>
  <si>
    <t>▲政令軽減（均等・平等/世帯単位/年間）</t>
    <rPh sb="1" eb="3">
      <t>セイレイ</t>
    </rPh>
    <rPh sb="3" eb="5">
      <t>ケイゲン</t>
    </rPh>
    <rPh sb="6" eb="8">
      <t>キントウ</t>
    </rPh>
    <rPh sb="9" eb="11">
      <t>ビョウドウ</t>
    </rPh>
    <rPh sb="12" eb="14">
      <t>セタイ</t>
    </rPh>
    <rPh sb="14" eb="16">
      <t>タンイ</t>
    </rPh>
    <phoneticPr fontId="2"/>
  </si>
  <si>
    <t>[端数調整計算]</t>
    <rPh sb="1" eb="3">
      <t>ハスウ</t>
    </rPh>
    <rPh sb="3" eb="5">
      <t>チョウセイ</t>
    </rPh>
    <rPh sb="5" eb="7">
      <t>ケイサン</t>
    </rPh>
    <phoneticPr fontId="2"/>
  </si>
  <si>
    <t>未就学児</t>
    <rPh sb="0" eb="4">
      <t>ミシュウガクジ</t>
    </rPh>
    <phoneticPr fontId="2"/>
  </si>
  <si>
    <t>小学生～39歳未満</t>
    <rPh sb="0" eb="3">
      <t>ショウガクセイ</t>
    </rPh>
    <rPh sb="6" eb="7">
      <t>サイ</t>
    </rPh>
    <rPh sb="7" eb="9">
      <t>ミマン</t>
    </rPh>
    <phoneticPr fontId="2"/>
  </si>
  <si>
    <t>　←[人数強制指定] 通常は空白。人数を指定したい場合（加入者6名以上等）は、その人数を入力。未就学児と39歳未満はセットで入力。</t>
    <rPh sb="3" eb="5">
      <t>ニンズウ</t>
    </rPh>
    <rPh sb="5" eb="7">
      <t>キョウセイ</t>
    </rPh>
    <rPh sb="7" eb="9">
      <t>シテイ</t>
    </rPh>
    <rPh sb="11" eb="13">
      <t>ツウジョウ</t>
    </rPh>
    <rPh sb="14" eb="16">
      <t>クウハク</t>
    </rPh>
    <rPh sb="17" eb="19">
      <t>ニンズウ</t>
    </rPh>
    <rPh sb="20" eb="22">
      <t>シテイ</t>
    </rPh>
    <rPh sb="25" eb="27">
      <t>バアイ</t>
    </rPh>
    <rPh sb="28" eb="31">
      <t>カニュウシャ</t>
    </rPh>
    <rPh sb="32" eb="36">
      <t>メイイジョウナド</t>
    </rPh>
    <rPh sb="41" eb="43">
      <t>ニンズウ</t>
    </rPh>
    <rPh sb="44" eb="46">
      <t>ニュウリョク</t>
    </rPh>
    <rPh sb="47" eb="51">
      <t>ミシュウガクジ</t>
    </rPh>
    <rPh sb="54" eb="55">
      <t>サイ</t>
    </rPh>
    <rPh sb="55" eb="57">
      <t>ミマン</t>
    </rPh>
    <rPh sb="62" eb="64">
      <t>ニュウリョク</t>
    </rPh>
    <phoneticPr fontId="2"/>
  </si>
  <si>
    <t>↑強制指定人数が未反映</t>
    <rPh sb="1" eb="3">
      <t>キョウセイ</t>
    </rPh>
    <rPh sb="3" eb="5">
      <t>シテイ</t>
    </rPh>
    <rPh sb="5" eb="7">
      <t>ニンズウ</t>
    </rPh>
    <rPh sb="8" eb="9">
      <t>ミ</t>
    </rPh>
    <rPh sb="9" eb="11">
      <t>ハンエイ</t>
    </rPh>
    <phoneticPr fontId="2"/>
  </si>
  <si>
    <t>強制</t>
    <rPh sb="0" eb="2">
      <t>キョウセイ</t>
    </rPh>
    <phoneticPr fontId="2"/>
  </si>
  <si>
    <t>子ども均等割軽減人数(入力シート内)</t>
    <rPh sb="0" eb="1">
      <t>コ</t>
    </rPh>
    <rPh sb="3" eb="6">
      <t>キントウワ</t>
    </rPh>
    <rPh sb="6" eb="8">
      <t>ケイゲン</t>
    </rPh>
    <rPh sb="8" eb="10">
      <t>ニンズウ</t>
    </rPh>
    <rPh sb="11" eb="13">
      <t>ニュウリョク</t>
    </rPh>
    <rPh sb="16" eb="17">
      <t>ナイ</t>
    </rPh>
    <phoneticPr fontId="2"/>
  </si>
  <si>
    <t>子ども均等割軽減人数(強制指定含)</t>
    <rPh sb="0" eb="1">
      <t>コ</t>
    </rPh>
    <rPh sb="3" eb="6">
      <t>キントウワ</t>
    </rPh>
    <rPh sb="6" eb="8">
      <t>ケイゲン</t>
    </rPh>
    <rPh sb="8" eb="10">
      <t>ニンズウ</t>
    </rPh>
    <rPh sb="11" eb="13">
      <t>キョウセイ</t>
    </rPh>
    <rPh sb="13" eb="15">
      <t>シテイ</t>
    </rPh>
    <rPh sb="15" eb="16">
      <t>フク</t>
    </rPh>
    <phoneticPr fontId="2"/>
  </si>
  <si>
    <t>子ども均等割軽減額（世帯単位/年間）</t>
    <rPh sb="0" eb="1">
      <t>コ</t>
    </rPh>
    <rPh sb="3" eb="6">
      <t>キントウワ</t>
    </rPh>
    <rPh sb="6" eb="8">
      <t>ケイゲン</t>
    </rPh>
    <rPh sb="8" eb="9">
      <t>ガク</t>
    </rPh>
    <rPh sb="10" eb="12">
      <t>セタイ</t>
    </rPh>
    <rPh sb="12" eb="14">
      <t>タンイ</t>
    </rPh>
    <rPh sb="15" eb="17">
      <t>ネンカン</t>
    </rPh>
    <phoneticPr fontId="2"/>
  </si>
  <si>
    <t>子ども均等割軽減額（1人あたり）</t>
    <rPh sb="0" eb="1">
      <t>コ</t>
    </rPh>
    <rPh sb="3" eb="6">
      <t>キントウワ</t>
    </rPh>
    <rPh sb="6" eb="8">
      <t>ケイゲン</t>
    </rPh>
    <rPh sb="8" eb="9">
      <t>ガク</t>
    </rPh>
    <rPh sb="11" eb="12">
      <t>ニン</t>
    </rPh>
    <phoneticPr fontId="2"/>
  </si>
  <si>
    <t>★HP公開時は、黄色セルがすべて空白（月数指定は12）であることを必ず確認すること！</t>
    <rPh sb="3" eb="5">
      <t>コウカイ</t>
    </rPh>
    <rPh sb="5" eb="6">
      <t>ジ</t>
    </rPh>
    <rPh sb="8" eb="10">
      <t>キイロ</t>
    </rPh>
    <rPh sb="16" eb="18">
      <t>クウハク</t>
    </rPh>
    <rPh sb="19" eb="21">
      <t>ツキスウ</t>
    </rPh>
    <rPh sb="21" eb="23">
      <t>シテイ</t>
    </rPh>
    <rPh sb="33" eb="34">
      <t>カナラ</t>
    </rPh>
    <rPh sb="35" eb="37">
      <t>カクニン</t>
    </rPh>
    <phoneticPr fontId="2"/>
  </si>
  <si>
    <t>↑未実装</t>
    <rPh sb="1" eb="4">
      <t>ミジッソウ</t>
    </rPh>
    <phoneticPr fontId="2"/>
  </si>
  <si>
    <t>医療分</t>
    <rPh sb="0" eb="2">
      <t>イリョウ</t>
    </rPh>
    <rPh sb="2" eb="3">
      <t>ブン</t>
    </rPh>
    <phoneticPr fontId="2"/>
  </si>
  <si>
    <t>支援分</t>
    <rPh sb="0" eb="2">
      <t>シエン</t>
    </rPh>
    <rPh sb="2" eb="3">
      <t>ブン</t>
    </rPh>
    <phoneticPr fontId="2"/>
  </si>
  <si>
    <t>介護分</t>
    <rPh sb="0" eb="2">
      <t>カイゴ</t>
    </rPh>
    <rPh sb="2" eb="3">
      <t>ブン</t>
    </rPh>
    <phoneticPr fontId="2"/>
  </si>
  <si>
    <t>[調整前]</t>
    <rPh sb="1" eb="3">
      <t>チョウセイ</t>
    </rPh>
    <rPh sb="3" eb="4">
      <t>マエ</t>
    </rPh>
    <phoneticPr fontId="2"/>
  </si>
  <si>
    <t>算定基礎</t>
    <rPh sb="0" eb="2">
      <t>サンテイ</t>
    </rPh>
    <rPh sb="2" eb="4">
      <t>キソ</t>
    </rPh>
    <phoneticPr fontId="2"/>
  </si>
  <si>
    <t>限度超過額の比較元計</t>
    <rPh sb="0" eb="2">
      <t>ゲンド</t>
    </rPh>
    <rPh sb="2" eb="4">
      <t>チョウカ</t>
    </rPh>
    <rPh sb="4" eb="5">
      <t>ガク</t>
    </rPh>
    <rPh sb="6" eb="8">
      <t>ヒカク</t>
    </rPh>
    <rPh sb="8" eb="9">
      <t>モト</t>
    </rPh>
    <rPh sb="9" eb="10">
      <t>ケイ</t>
    </rPh>
    <phoneticPr fontId="2"/>
  </si>
  <si>
    <t>限度額超過時の保険料</t>
    <rPh sb="0" eb="2">
      <t>ゲンド</t>
    </rPh>
    <rPh sb="2" eb="3">
      <t>ガク</t>
    </rPh>
    <rPh sb="3" eb="5">
      <t>チョウカ</t>
    </rPh>
    <rPh sb="5" eb="6">
      <t>ジ</t>
    </rPh>
    <rPh sb="7" eb="10">
      <t>ホケンリョウ</t>
    </rPh>
    <phoneticPr fontId="2"/>
  </si>
  <si>
    <t xml:space="preserve">条例減免額合計 </t>
    <rPh sb="0" eb="2">
      <t>ジョウレイ</t>
    </rPh>
    <rPh sb="2" eb="4">
      <t>ゲンメン</t>
    </rPh>
    <rPh sb="4" eb="5">
      <t>ガク</t>
    </rPh>
    <rPh sb="5" eb="7">
      <t>ゴウケイ</t>
    </rPh>
    <phoneticPr fontId="2"/>
  </si>
  <si>
    <t>　所得割0／月数指定時の端数⇒均等割で調整</t>
    <rPh sb="1" eb="3">
      <t>ショトク</t>
    </rPh>
    <rPh sb="3" eb="4">
      <t>ワリ</t>
    </rPh>
    <rPh sb="6" eb="8">
      <t>ツキスウ</t>
    </rPh>
    <rPh sb="8" eb="10">
      <t>シテイ</t>
    </rPh>
    <rPh sb="10" eb="11">
      <t>ジ</t>
    </rPh>
    <rPh sb="12" eb="14">
      <t>ハスウ</t>
    </rPh>
    <rPh sb="15" eb="18">
      <t>キントウワ</t>
    </rPh>
    <rPh sb="19" eb="21">
      <t>チョウセイ</t>
    </rPh>
    <phoneticPr fontId="2"/>
  </si>
  <si>
    <r>
      <t>前年（R0</t>
    </r>
    <r>
      <rPr>
        <sz val="11"/>
        <color rgb="FFFF0000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</rPr>
      <t>）年中の収入と所得の金額</t>
    </r>
    <rPh sb="7" eb="8">
      <t>ネン</t>
    </rPh>
    <rPh sb="10" eb="12">
      <t>シュウニュウ</t>
    </rPh>
    <rPh sb="13" eb="15">
      <t>ショトク</t>
    </rPh>
    <rPh sb="16" eb="18">
      <t>キンガク</t>
    </rPh>
    <phoneticPr fontId="2"/>
  </si>
  <si>
    <t>給与所得</t>
  </si>
  <si>
    <t/>
  </si>
  <si>
    <t>　　 年度　堺市国民健康保険料　試算シート</t>
    <phoneticPr fontId="2"/>
  </si>
  <si>
    <t>←政令軽減2割該当　未就学児1名の均等割額を1/2軽減</t>
  </si>
  <si>
    <t>←政令軽減2割該当</t>
  </si>
  <si>
    <t>ver17-2</t>
    <phoneticPr fontId="2"/>
  </si>
  <si>
    <t>その他</t>
    <rPh sb="2" eb="3">
      <t>タ</t>
    </rPh>
    <phoneticPr fontId="2"/>
  </si>
  <si>
    <t>円</t>
    <rPh sb="0" eb="1">
      <t>エン</t>
    </rPh>
    <phoneticPr fontId="2"/>
  </si>
  <si>
    <t>年金</t>
    <rPh sb="0" eb="2">
      <t>ネンキン</t>
    </rPh>
    <phoneticPr fontId="2"/>
  </si>
  <si>
    <t>上記の保険料額は、あくまで「概算」となります。</t>
    <rPh sb="0" eb="2">
      <t>ジョウキ</t>
    </rPh>
    <rPh sb="3" eb="7">
      <t>ホケンリョウガク</t>
    </rPh>
    <rPh sb="14" eb="16">
      <t>ガイサン</t>
    </rPh>
    <phoneticPr fontId="2"/>
  </si>
  <si>
    <t>そのため、実際の保険料とは異なる場合があります。</t>
    <rPh sb="5" eb="7">
      <t>ジッサイ</t>
    </rPh>
    <rPh sb="8" eb="11">
      <t>ホケンリョウ</t>
    </rPh>
    <rPh sb="13" eb="14">
      <t>コト</t>
    </rPh>
    <rPh sb="16" eb="18">
      <t>バアイ</t>
    </rPh>
    <phoneticPr fontId="2"/>
  </si>
  <si>
    <t>参考としてご利用ください。</t>
    <rPh sb="0" eb="2">
      <t>サンコウ</t>
    </rPh>
    <rPh sb="6" eb="8">
      <t>リヨウ</t>
    </rPh>
    <phoneticPr fontId="2"/>
  </si>
  <si>
    <t>ご本人が記入してください。</t>
    <rPh sb="1" eb="3">
      <t>ホンニン</t>
    </rPh>
    <rPh sb="4" eb="6">
      <t>キニュウ</t>
    </rPh>
    <phoneticPr fontId="2"/>
  </si>
  <si>
    <t>令和7年度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</si>
</sst>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;;0"/>
    <numFmt numFmtId="177" formatCode="#,##0&quot;～&quot;"/>
    <numFmt numFmtId="178" formatCode="#,##0_ "/>
    <numFmt numFmtId="179" formatCode="#,##0_ &quot;円&quot;"/>
    <numFmt numFmtId="180" formatCode="#,##0_ &quot;人&quot;"/>
    <numFmt numFmtId="181" formatCode="yyyy&quot;年&quot;m&quot;月&quot;d&quot;日&quot;;@"/>
    <numFmt numFmtId="182" formatCode="#,##0&quot;円&quot;"/>
    <numFmt numFmtId="183" formatCode="0.000_);[Red]\(0.000\)"/>
    <numFmt numFmtId="184" formatCode="0_);[Red]\(0\)"/>
    <numFmt numFmtId="185" formatCode="#,##0.000;[Red]\-#,##0.000"/>
  </numFmts>
  <fonts count="6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1"/>
      <color rgb="FF0070C0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</font>
    <font>
      <sz val="9"/>
      <color rgb="FF0070C0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rgb="FFFF0000"/>
      <name val="ＭＳ Ｐゴシック"/>
      <family val="2"/>
      <charset val="128"/>
    </font>
    <font>
      <sz val="10"/>
      <color rgb="FF0070C0"/>
      <name val="ＭＳ Ｐゴシック"/>
      <family val="2"/>
      <charset val="128"/>
    </font>
    <font>
      <b/>
      <sz val="11"/>
      <color rgb="FF7030A0"/>
      <name val="ＭＳ Ｐゴシック"/>
      <family val="3"/>
      <charset val="128"/>
    </font>
    <font>
      <sz val="11"/>
      <color rgb="FF7030A0"/>
      <name val="ＭＳ Ｐゴシック"/>
      <family val="2"/>
      <charset val="128"/>
    </font>
    <font>
      <sz val="11"/>
      <color rgb="FF00B050"/>
      <name val="ＭＳ Ｐゴシック"/>
      <family val="2"/>
      <charset val="128"/>
    </font>
    <font>
      <sz val="11"/>
      <color rgb="FF00B050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u/>
      <sz val="11"/>
      <color rgb="FFFF0000"/>
      <name val="ＭＳ Ｐゴシック"/>
      <family val="2"/>
      <charset val="128"/>
    </font>
    <font>
      <b/>
      <u/>
      <sz val="11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theme="9" tint="0.59999389629810485"/>
      <name val="ＭＳ Ｐゴシック"/>
      <family val="2"/>
      <charset val="128"/>
    </font>
    <font>
      <sz val="11"/>
      <color theme="9" tint="0.5999938962981048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u/>
      <sz val="11"/>
      <color rgb="FFFF0000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sz val="11"/>
      <color rgb="FF0070C0"/>
      <name val="ＭＳ Ｐゴシック"/>
      <family val="3"/>
      <charset val="128"/>
    </font>
    <font>
      <vertAlign val="superscript"/>
      <sz val="11"/>
      <name val="HGｺﾞｼｯｸM"/>
      <family val="3"/>
      <charset val="128"/>
    </font>
    <font>
      <sz val="11"/>
      <color rgb="FF0070C0"/>
      <name val="HGｺﾞｼｯｸM"/>
      <family val="3"/>
      <charset val="128"/>
    </font>
    <font>
      <sz val="9"/>
      <name val="ＭＳ Ｐゴシック"/>
      <family val="2"/>
      <charset val="128"/>
    </font>
    <font>
      <b/>
      <u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8" tint="0.79998168889431442"/>
      <name val="ＭＳ Ｐゴシック"/>
      <family val="2"/>
      <charset val="128"/>
    </font>
    <font>
      <sz val="11"/>
      <color theme="8" tint="0.79998168889431442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4"/>
      <name val="ＭＳ Ｐゴシック"/>
      <family val="2"/>
      <charset val="128"/>
    </font>
    <font>
      <sz val="11"/>
      <color theme="2" tint="-9.9978637043366805E-2"/>
      <name val="ＭＳ Ｐゴシック"/>
      <family val="2"/>
      <charset val="128"/>
    </font>
    <font>
      <sz val="11"/>
      <color theme="2" tint="-9.9978637043366805E-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 tint="-0.249977111117893"/>
      <name val="ＭＳ Ｐゴシック"/>
      <family val="2"/>
      <charset val="128"/>
    </font>
    <font>
      <sz val="11"/>
      <color theme="0" tint="-0.249977111117893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name val="HGｺﾞｼｯｸM"/>
      <family val="3"/>
      <charset val="128"/>
    </font>
    <font>
      <sz val="1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</cellStyleXfs>
  <cellXfs count="3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textRotation="255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38" fontId="0" fillId="0" borderId="0" xfId="0" applyNumberFormat="1" applyBorder="1">
      <alignment vertical="center"/>
    </xf>
    <xf numFmtId="38" fontId="0" fillId="0" borderId="1" xfId="1" applyFont="1" applyBorder="1" applyProtection="1">
      <alignment vertical="center"/>
      <protection hidden="1"/>
    </xf>
    <xf numFmtId="38" fontId="0" fillId="0" borderId="1" xfId="0" applyNumberFormat="1" applyFill="1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9" fontId="0" fillId="0" borderId="1" xfId="0" applyNumberFormat="1" applyBorder="1">
      <alignment vertical="center"/>
    </xf>
    <xf numFmtId="38" fontId="0" fillId="4" borderId="1" xfId="0" applyNumberFormat="1" applyFill="1" applyBorder="1" applyProtection="1">
      <alignment vertical="center"/>
      <protection locked="0"/>
    </xf>
    <xf numFmtId="0" fontId="9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38" fontId="0" fillId="0" borderId="9" xfId="1" applyFont="1" applyFill="1" applyBorder="1">
      <alignment vertical="center"/>
    </xf>
    <xf numFmtId="38" fontId="3" fillId="0" borderId="9" xfId="1" applyFont="1" applyBorder="1">
      <alignment vertical="center"/>
    </xf>
    <xf numFmtId="9" fontId="0" fillId="0" borderId="9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3" fillId="0" borderId="0" xfId="0" applyFont="1">
      <alignment vertical="center"/>
    </xf>
    <xf numFmtId="181" fontId="13" fillId="0" borderId="0" xfId="0" applyNumberFormat="1" applyFont="1">
      <alignment vertical="center"/>
    </xf>
    <xf numFmtId="179" fontId="13" fillId="0" borderId="0" xfId="0" applyNumberFormat="1" applyFont="1">
      <alignment vertical="center"/>
    </xf>
    <xf numFmtId="38" fontId="13" fillId="0" borderId="0" xfId="0" applyNumberFormat="1" applyFont="1">
      <alignment vertical="center"/>
    </xf>
    <xf numFmtId="179" fontId="13" fillId="0" borderId="1" xfId="0" applyNumberFormat="1" applyFont="1" applyBorder="1">
      <alignment vertical="center"/>
    </xf>
    <xf numFmtId="179" fontId="14" fillId="0" borderId="1" xfId="0" applyNumberFormat="1" applyFont="1" applyBorder="1">
      <alignment vertical="center"/>
    </xf>
    <xf numFmtId="0" fontId="13" fillId="0" borderId="1" xfId="0" applyFont="1" applyBorder="1">
      <alignment vertical="center"/>
    </xf>
    <xf numFmtId="180" fontId="13" fillId="0" borderId="1" xfId="0" applyNumberFormat="1" applyFont="1" applyBorder="1">
      <alignment vertical="center"/>
    </xf>
    <xf numFmtId="0" fontId="13" fillId="0" borderId="13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/>
    </xf>
    <xf numFmtId="38" fontId="0" fillId="0" borderId="1" xfId="0" applyNumberFormat="1" applyBorder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0" fillId="0" borderId="9" xfId="0" applyNumberFormat="1" applyFill="1" applyBorder="1">
      <alignment vertical="center"/>
    </xf>
    <xf numFmtId="38" fontId="1" fillId="3" borderId="1" xfId="1" applyFont="1" applyFill="1" applyBorder="1" applyAlignment="1">
      <alignment horizontal="right" vertical="center"/>
    </xf>
    <xf numFmtId="38" fontId="0" fillId="3" borderId="3" xfId="1" applyFont="1" applyFill="1" applyBorder="1" applyAlignment="1">
      <alignment horizontal="right" vertical="center"/>
    </xf>
    <xf numFmtId="38" fontId="0" fillId="0" borderId="4" xfId="1" applyFont="1" applyFill="1" applyBorder="1">
      <alignment vertical="center"/>
    </xf>
    <xf numFmtId="177" fontId="0" fillId="0" borderId="1" xfId="1" applyNumberFormat="1" applyFont="1" applyFill="1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10" fillId="4" borderId="0" xfId="0" applyFont="1" applyFill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4" borderId="1" xfId="0" applyFill="1" applyBorder="1" applyProtection="1">
      <alignment vertical="center"/>
      <protection locked="0"/>
    </xf>
    <xf numFmtId="0" fontId="0" fillId="0" borderId="0" xfId="0" applyFill="1" applyBorder="1" applyAlignment="1">
      <alignment horizontal="right" vertical="center"/>
    </xf>
    <xf numFmtId="38" fontId="19" fillId="5" borderId="3" xfId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178" fontId="19" fillId="5" borderId="1" xfId="1" applyNumberFormat="1" applyFont="1" applyFill="1" applyBorder="1" applyAlignment="1">
      <alignment horizontal="right" vertical="center"/>
    </xf>
    <xf numFmtId="178" fontId="0" fillId="0" borderId="2" xfId="0" applyNumberFormat="1" applyBorder="1">
      <alignment vertical="center"/>
    </xf>
    <xf numFmtId="178" fontId="0" fillId="0" borderId="0" xfId="0" applyNumberFormat="1" applyBorder="1">
      <alignment vertical="center"/>
    </xf>
    <xf numFmtId="38" fontId="18" fillId="0" borderId="0" xfId="0" applyNumberFormat="1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16" fillId="0" borderId="0" xfId="0" applyFont="1">
      <alignment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178" fontId="0" fillId="4" borderId="1" xfId="0" applyNumberFormat="1" applyFill="1" applyBorder="1" applyProtection="1">
      <alignment vertical="center"/>
      <protection locked="0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8" fillId="0" borderId="0" xfId="0" applyFont="1">
      <alignment vertical="center"/>
    </xf>
    <xf numFmtId="0" fontId="18" fillId="0" borderId="15" xfId="0" applyFont="1" applyBorder="1">
      <alignment vertical="center"/>
    </xf>
    <xf numFmtId="0" fontId="19" fillId="0" borderId="0" xfId="0" applyFont="1" applyAlignment="1">
      <alignment horizontal="center" vertical="center"/>
    </xf>
    <xf numFmtId="38" fontId="23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23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38" fontId="22" fillId="5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vertical="center"/>
    </xf>
    <xf numFmtId="38" fontId="22" fillId="0" borderId="0" xfId="0" applyNumberFormat="1" applyFont="1" applyFill="1" applyBorder="1" applyAlignment="1">
      <alignment vertical="center"/>
    </xf>
    <xf numFmtId="0" fontId="19" fillId="5" borderId="3" xfId="0" applyFont="1" applyFill="1" applyBorder="1" applyAlignment="1">
      <alignment horizontal="center" vertical="center"/>
    </xf>
    <xf numFmtId="38" fontId="22" fillId="5" borderId="1" xfId="1" applyFont="1" applyFill="1" applyBorder="1" applyAlignment="1">
      <alignment horizontal="right" vertical="center"/>
    </xf>
    <xf numFmtId="38" fontId="0" fillId="3" borderId="1" xfId="1" applyFont="1" applyFill="1" applyBorder="1" applyAlignment="1">
      <alignment horizontal="right" vertical="center"/>
    </xf>
    <xf numFmtId="38" fontId="1" fillId="3" borderId="3" xfId="1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38" fontId="4" fillId="0" borderId="17" xfId="1" applyFont="1" applyFill="1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19" fillId="5" borderId="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 shrinkToFit="1"/>
    </xf>
    <xf numFmtId="0" fontId="22" fillId="5" borderId="3" xfId="0" applyFont="1" applyFill="1" applyBorder="1" applyAlignment="1">
      <alignment horizontal="center" vertical="center" shrinkToFit="1"/>
    </xf>
    <xf numFmtId="0" fontId="22" fillId="5" borderId="3" xfId="0" applyFont="1" applyFill="1" applyBorder="1" applyAlignment="1">
      <alignment horizontal="center" vertical="center"/>
    </xf>
    <xf numFmtId="178" fontId="19" fillId="5" borderId="3" xfId="1" applyNumberFormat="1" applyFont="1" applyFill="1" applyBorder="1" applyAlignment="1">
      <alignment horizontal="right" vertical="center"/>
    </xf>
    <xf numFmtId="0" fontId="22" fillId="0" borderId="17" xfId="0" applyFont="1" applyFill="1" applyBorder="1" applyAlignment="1">
      <alignment vertical="center" shrinkToFit="1"/>
    </xf>
    <xf numFmtId="178" fontId="19" fillId="0" borderId="17" xfId="0" applyNumberFormat="1" applyFont="1" applyFill="1" applyBorder="1" applyAlignment="1">
      <alignment vertical="center"/>
    </xf>
    <xf numFmtId="178" fontId="18" fillId="0" borderId="17" xfId="0" applyNumberFormat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38" fontId="4" fillId="0" borderId="0" xfId="1" applyFont="1" applyFill="1" applyBorder="1">
      <alignment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0" xfId="0" applyNumberForma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38" fontId="1" fillId="0" borderId="9" xfId="1" applyFont="1" applyFill="1" applyBorder="1" applyAlignment="1">
      <alignment horizontal="right" vertical="center"/>
    </xf>
    <xf numFmtId="0" fontId="0" fillId="6" borderId="18" xfId="0" applyFill="1" applyBorder="1" applyAlignment="1">
      <alignment horizontal="center" vertical="center"/>
    </xf>
    <xf numFmtId="38" fontId="1" fillId="6" borderId="18" xfId="1" applyFont="1" applyFill="1" applyBorder="1" applyAlignment="1">
      <alignment horizontal="right" vertical="center"/>
    </xf>
    <xf numFmtId="0" fontId="22" fillId="5" borderId="19" xfId="0" applyFont="1" applyFill="1" applyBorder="1" applyAlignment="1">
      <alignment horizontal="center" vertical="center"/>
    </xf>
    <xf numFmtId="178" fontId="19" fillId="5" borderId="9" xfId="1" applyNumberFormat="1" applyFont="1" applyFill="1" applyBorder="1" applyAlignment="1">
      <alignment horizontal="right" vertical="center"/>
    </xf>
    <xf numFmtId="178" fontId="19" fillId="5" borderId="18" xfId="1" applyNumberFormat="1" applyFont="1" applyFill="1" applyBorder="1" applyAlignment="1">
      <alignment horizontal="right" vertical="center"/>
    </xf>
    <xf numFmtId="0" fontId="22" fillId="5" borderId="20" xfId="0" applyFont="1" applyFill="1" applyBorder="1" applyAlignment="1">
      <alignment horizontal="center" vertical="center"/>
    </xf>
    <xf numFmtId="178" fontId="19" fillId="5" borderId="21" xfId="1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3" fontId="16" fillId="4" borderId="1" xfId="0" applyNumberFormat="1" applyFont="1" applyFill="1" applyBorder="1" applyProtection="1">
      <alignment vertical="center"/>
      <protection locked="0"/>
    </xf>
    <xf numFmtId="3" fontId="16" fillId="0" borderId="2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0" fillId="0" borderId="16" xfId="0" applyBorder="1" applyAlignment="1">
      <alignment horizontal="right" vertical="center"/>
    </xf>
    <xf numFmtId="179" fontId="13" fillId="0" borderId="14" xfId="0" applyNumberFormat="1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38" fontId="31" fillId="0" borderId="1" xfId="1" applyFont="1" applyFill="1" applyBorder="1">
      <alignment vertical="center"/>
    </xf>
    <xf numFmtId="10" fontId="31" fillId="0" borderId="1" xfId="2" applyNumberFormat="1" applyFont="1" applyFill="1" applyBorder="1">
      <alignment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Fill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38" fontId="0" fillId="0" borderId="1" xfId="1" applyFont="1" applyFill="1" applyBorder="1" applyProtection="1">
      <alignment vertical="center"/>
    </xf>
    <xf numFmtId="3" fontId="0" fillId="0" borderId="1" xfId="0" applyNumberFormat="1" applyFill="1" applyBorder="1" applyProtection="1">
      <alignment vertical="center"/>
    </xf>
    <xf numFmtId="0" fontId="33" fillId="0" borderId="24" xfId="0" applyFont="1" applyBorder="1" applyAlignment="1">
      <alignment horizontal="left" vertical="center"/>
    </xf>
    <xf numFmtId="0" fontId="34" fillId="0" borderId="0" xfId="0" applyFont="1">
      <alignment vertical="center"/>
    </xf>
    <xf numFmtId="0" fontId="35" fillId="0" borderId="0" xfId="0" applyFont="1" applyAlignment="1">
      <alignment horizontal="right" vertical="center"/>
    </xf>
    <xf numFmtId="0" fontId="34" fillId="0" borderId="25" xfId="0" applyFont="1" applyFill="1" applyBorder="1">
      <alignment vertical="center"/>
    </xf>
    <xf numFmtId="0" fontId="34" fillId="5" borderId="1" xfId="0" applyFont="1" applyFill="1" applyBorder="1" applyAlignment="1">
      <alignment horizontal="center" vertical="center"/>
    </xf>
    <xf numFmtId="0" fontId="34" fillId="4" borderId="1" xfId="0" applyFont="1" applyFill="1" applyBorder="1" applyProtection="1">
      <alignment vertical="center"/>
      <protection locked="0"/>
    </xf>
    <xf numFmtId="182" fontId="34" fillId="4" borderId="1" xfId="0" applyNumberFormat="1" applyFont="1" applyFill="1" applyBorder="1" applyProtection="1">
      <alignment vertical="center"/>
      <protection locked="0"/>
    </xf>
    <xf numFmtId="0" fontId="36" fillId="0" borderId="0" xfId="0" applyFont="1" applyAlignment="1">
      <alignment horizontal="left" vertical="center"/>
    </xf>
    <xf numFmtId="0" fontId="34" fillId="0" borderId="0" xfId="0" applyFont="1" applyFill="1">
      <alignment vertical="center"/>
    </xf>
    <xf numFmtId="0" fontId="34" fillId="0" borderId="25" xfId="0" applyFont="1" applyBorder="1" applyAlignment="1">
      <alignment horizontal="right" vertical="center"/>
    </xf>
    <xf numFmtId="0" fontId="34" fillId="3" borderId="1" xfId="0" applyFont="1" applyFill="1" applyBorder="1" applyAlignment="1">
      <alignment horizontal="center" vertical="center"/>
    </xf>
    <xf numFmtId="182" fontId="34" fillId="0" borderId="1" xfId="0" applyNumberFormat="1" applyFont="1" applyBorder="1">
      <alignment vertical="center"/>
    </xf>
    <xf numFmtId="0" fontId="34" fillId="3" borderId="8" xfId="0" applyFont="1" applyFill="1" applyBorder="1" applyAlignment="1">
      <alignment horizontal="center" vertical="center"/>
    </xf>
    <xf numFmtId="182" fontId="34" fillId="0" borderId="8" xfId="0" applyNumberFormat="1" applyFont="1" applyBorder="1">
      <alignment vertical="center"/>
    </xf>
    <xf numFmtId="0" fontId="34" fillId="3" borderId="26" xfId="0" applyFont="1" applyFill="1" applyBorder="1" applyAlignment="1">
      <alignment horizontal="center" vertical="center"/>
    </xf>
    <xf numFmtId="182" fontId="34" fillId="0" borderId="26" xfId="0" applyNumberFormat="1" applyFont="1" applyBorder="1">
      <alignment vertical="center"/>
    </xf>
    <xf numFmtId="0" fontId="34" fillId="3" borderId="27" xfId="0" applyFont="1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1" fillId="0" borderId="0" xfId="0" applyFont="1" applyFill="1">
      <alignment vertical="center"/>
    </xf>
    <xf numFmtId="0" fontId="39" fillId="0" borderId="0" xfId="0" applyFont="1">
      <alignment vertical="center"/>
    </xf>
    <xf numFmtId="0" fontId="0" fillId="7" borderId="1" xfId="0" applyFill="1" applyBorder="1" applyAlignment="1">
      <alignment horizontal="center" vertical="center"/>
    </xf>
    <xf numFmtId="38" fontId="0" fillId="7" borderId="1" xfId="1" applyFont="1" applyFill="1" applyBorder="1">
      <alignment vertical="center"/>
    </xf>
    <xf numFmtId="38" fontId="0" fillId="7" borderId="8" xfId="1" applyFont="1" applyFill="1" applyBorder="1">
      <alignment vertical="center"/>
    </xf>
    <xf numFmtId="38" fontId="3" fillId="7" borderId="1" xfId="1" applyFont="1" applyFill="1" applyBorder="1">
      <alignment vertical="center"/>
    </xf>
    <xf numFmtId="0" fontId="0" fillId="7" borderId="1" xfId="0" applyFill="1" applyBorder="1">
      <alignment vertical="center"/>
    </xf>
    <xf numFmtId="38" fontId="0" fillId="7" borderId="10" xfId="1" applyFont="1" applyFill="1" applyBorder="1">
      <alignment vertical="center"/>
    </xf>
    <xf numFmtId="0" fontId="0" fillId="7" borderId="0" xfId="0" applyFill="1" applyBorder="1">
      <alignment vertical="center"/>
    </xf>
    <xf numFmtId="38" fontId="3" fillId="7" borderId="0" xfId="1" applyFont="1" applyFill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49" fontId="0" fillId="0" borderId="0" xfId="0" applyNumberFormat="1" applyAlignment="1">
      <alignment horizontal="right" vertical="center"/>
    </xf>
    <xf numFmtId="182" fontId="34" fillId="0" borderId="1" xfId="0" applyNumberFormat="1" applyFont="1" applyFill="1" applyBorder="1" applyProtection="1">
      <alignment vertical="center"/>
    </xf>
    <xf numFmtId="0" fontId="34" fillId="0" borderId="14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38" fontId="4" fillId="0" borderId="1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" xfId="0" applyFont="1" applyFill="1" applyBorder="1" applyProtection="1">
      <alignment vertical="center"/>
      <protection locked="0"/>
    </xf>
    <xf numFmtId="182" fontId="34" fillId="7" borderId="1" xfId="0" applyNumberFormat="1" applyFont="1" applyFill="1" applyBorder="1" applyProtection="1">
      <alignment vertical="center"/>
      <protection locked="0"/>
    </xf>
    <xf numFmtId="182" fontId="34" fillId="7" borderId="1" xfId="0" applyNumberFormat="1" applyFont="1" applyFill="1" applyBorder="1" applyProtection="1">
      <alignment vertical="center"/>
    </xf>
    <xf numFmtId="0" fontId="36" fillId="0" borderId="0" xfId="0" applyFont="1" applyFill="1" applyAlignment="1">
      <alignment horizontal="left" vertical="center"/>
    </xf>
    <xf numFmtId="0" fontId="0" fillId="7" borderId="1" xfId="0" quotePrefix="1" applyFill="1" applyBorder="1" applyAlignment="1">
      <alignment horizontal="center" vertical="center" shrinkToFit="1"/>
    </xf>
    <xf numFmtId="176" fontId="0" fillId="7" borderId="4" xfId="0" applyNumberFormat="1" applyFill="1" applyBorder="1">
      <alignment vertical="center"/>
    </xf>
    <xf numFmtId="0" fontId="0" fillId="7" borderId="0" xfId="0" applyFill="1">
      <alignment vertical="center"/>
    </xf>
    <xf numFmtId="38" fontId="0" fillId="7" borderId="1" xfId="0" applyNumberFormat="1" applyFill="1" applyBorder="1">
      <alignment vertical="center"/>
    </xf>
    <xf numFmtId="0" fontId="0" fillId="7" borderId="1" xfId="0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38" fontId="0" fillId="7" borderId="0" xfId="0" applyNumberFormat="1" applyFill="1">
      <alignment vertical="center"/>
    </xf>
    <xf numFmtId="0" fontId="32" fillId="0" borderId="0" xfId="0" applyFont="1" applyAlignment="1">
      <alignment horizontal="right" vertical="center"/>
    </xf>
    <xf numFmtId="3" fontId="4" fillId="4" borderId="1" xfId="0" applyNumberFormat="1" applyFont="1" applyFill="1" applyBorder="1" applyProtection="1">
      <alignment vertical="center"/>
      <protection locked="0"/>
    </xf>
    <xf numFmtId="0" fontId="42" fillId="0" borderId="0" xfId="0" applyFont="1" applyAlignment="1">
      <alignment horizontal="left" vertical="center"/>
    </xf>
    <xf numFmtId="178" fontId="0" fillId="0" borderId="1" xfId="0" applyNumberFormat="1" applyFill="1" applyBorder="1" applyProtection="1">
      <alignment vertical="center"/>
    </xf>
    <xf numFmtId="3" fontId="0" fillId="0" borderId="1" xfId="0" applyNumberFormat="1" applyFill="1" applyBorder="1" applyAlignment="1" applyProtection="1">
      <alignment horizontal="center" vertical="center"/>
    </xf>
    <xf numFmtId="38" fontId="0" fillId="4" borderId="3" xfId="0" applyNumberFormat="1" applyFill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4" fillId="0" borderId="0" xfId="0" applyFont="1">
      <alignment vertical="center"/>
    </xf>
    <xf numFmtId="0" fontId="45" fillId="0" borderId="0" xfId="0" applyFont="1" applyAlignment="1">
      <alignment horizontal="left" vertical="center"/>
    </xf>
    <xf numFmtId="0" fontId="42" fillId="0" borderId="0" xfId="0" applyFont="1" applyFill="1" applyBorder="1" applyAlignment="1">
      <alignment horizontal="right" vertical="center"/>
    </xf>
    <xf numFmtId="0" fontId="42" fillId="0" borderId="0" xfId="0" applyFont="1">
      <alignment vertical="center"/>
    </xf>
    <xf numFmtId="0" fontId="31" fillId="0" borderId="1" xfId="0" applyFont="1" applyBorder="1">
      <alignment vertical="center"/>
    </xf>
    <xf numFmtId="0" fontId="31" fillId="0" borderId="1" xfId="0" applyFont="1" applyBorder="1" applyAlignment="1">
      <alignment horizontal="left" vertical="center"/>
    </xf>
    <xf numFmtId="0" fontId="0" fillId="8" borderId="1" xfId="0" applyFill="1" applyBorder="1" applyProtection="1">
      <alignment vertical="center"/>
      <protection locked="0"/>
    </xf>
    <xf numFmtId="0" fontId="34" fillId="5" borderId="1" xfId="0" applyFont="1" applyFill="1" applyBorder="1" applyAlignment="1">
      <alignment horizontal="center" vertical="center" shrinkToFit="1"/>
    </xf>
    <xf numFmtId="0" fontId="3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38" fontId="16" fillId="4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top"/>
    </xf>
    <xf numFmtId="182" fontId="34" fillId="0" borderId="26" xfId="0" applyNumberFormat="1" applyFont="1" applyFill="1" applyBorder="1">
      <alignment vertical="center"/>
    </xf>
    <xf numFmtId="0" fontId="0" fillId="0" borderId="31" xfId="0" applyBorder="1">
      <alignment vertical="center"/>
    </xf>
    <xf numFmtId="38" fontId="4" fillId="0" borderId="4" xfId="0" applyNumberFormat="1" applyFont="1" applyFill="1" applyBorder="1">
      <alignment vertical="center"/>
    </xf>
    <xf numFmtId="0" fontId="16" fillId="0" borderId="0" xfId="0" applyFont="1" applyFill="1">
      <alignment vertical="center"/>
    </xf>
    <xf numFmtId="38" fontId="0" fillId="0" borderId="4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10" fillId="0" borderId="17" xfId="0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16" fillId="0" borderId="0" xfId="0" quotePrefix="1" applyFont="1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49" fillId="0" borderId="0" xfId="0" applyFont="1" applyAlignment="1">
      <alignment horizontal="right" vertical="center"/>
    </xf>
    <xf numFmtId="0" fontId="50" fillId="0" borderId="0" xfId="0" applyFont="1">
      <alignment vertical="center"/>
    </xf>
    <xf numFmtId="0" fontId="16" fillId="4" borderId="3" xfId="0" applyFon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4" fillId="0" borderId="0" xfId="0" applyFont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3" fillId="0" borderId="0" xfId="0" applyFont="1">
      <alignment vertical="center"/>
    </xf>
    <xf numFmtId="0" fontId="55" fillId="0" borderId="0" xfId="0" applyFont="1" applyAlignment="1">
      <alignment horizontal="center" vertical="center"/>
    </xf>
    <xf numFmtId="0" fontId="55" fillId="0" borderId="0" xfId="0" applyFont="1">
      <alignment vertical="center"/>
    </xf>
    <xf numFmtId="0" fontId="55" fillId="0" borderId="0" xfId="0" applyFont="1" applyBorder="1">
      <alignment vertical="center"/>
    </xf>
    <xf numFmtId="0" fontId="55" fillId="0" borderId="0" xfId="0" applyFont="1" applyBorder="1" applyAlignment="1">
      <alignment horizontal="right" vertical="center"/>
    </xf>
    <xf numFmtId="183" fontId="55" fillId="0" borderId="0" xfId="0" applyNumberFormat="1" applyFont="1">
      <alignment vertical="center"/>
    </xf>
    <xf numFmtId="183" fontId="55" fillId="0" borderId="0" xfId="0" applyNumberFormat="1" applyFont="1" applyAlignment="1">
      <alignment horizontal="center" vertical="center"/>
    </xf>
    <xf numFmtId="183" fontId="55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right" vertical="center"/>
    </xf>
    <xf numFmtId="184" fontId="55" fillId="0" borderId="0" xfId="0" applyNumberFormat="1" applyFont="1">
      <alignment vertical="center"/>
    </xf>
    <xf numFmtId="38" fontId="0" fillId="0" borderId="0" xfId="1" applyFont="1" applyBorder="1" applyProtection="1">
      <alignment vertical="center"/>
      <protection hidden="1"/>
    </xf>
    <xf numFmtId="0" fontId="4" fillId="0" borderId="0" xfId="0" applyFont="1" applyBorder="1">
      <alignment vertical="center"/>
    </xf>
    <xf numFmtId="0" fontId="56" fillId="0" borderId="0" xfId="0" applyFont="1">
      <alignment vertical="center"/>
    </xf>
    <xf numFmtId="38" fontId="57" fillId="0" borderId="1" xfId="1" applyFont="1" applyBorder="1" applyProtection="1">
      <alignment vertical="center"/>
      <protection hidden="1"/>
    </xf>
    <xf numFmtId="0" fontId="57" fillId="0" borderId="0" xfId="0" applyFont="1">
      <alignment vertical="center"/>
    </xf>
    <xf numFmtId="0" fontId="31" fillId="0" borderId="0" xfId="0" applyFont="1" applyBorder="1" applyAlignment="1">
      <alignment horizontal="right" vertical="center"/>
    </xf>
    <xf numFmtId="184" fontId="31" fillId="0" borderId="0" xfId="0" applyNumberFormat="1" applyFont="1" applyBorder="1">
      <alignment vertical="center"/>
    </xf>
    <xf numFmtId="38" fontId="31" fillId="0" borderId="0" xfId="1" applyFont="1" applyBorder="1">
      <alignment vertical="center"/>
    </xf>
    <xf numFmtId="38" fontId="31" fillId="0" borderId="1" xfId="1" applyFont="1" applyBorder="1">
      <alignment vertical="center"/>
    </xf>
    <xf numFmtId="38" fontId="31" fillId="0" borderId="1" xfId="1" applyFont="1" applyBorder="1" applyAlignment="1">
      <alignment horizontal="right" vertical="center"/>
    </xf>
    <xf numFmtId="38" fontId="31" fillId="0" borderId="1" xfId="1" applyFont="1" applyBorder="1" applyAlignment="1">
      <alignment horizontal="center" vertical="center"/>
    </xf>
    <xf numFmtId="38" fontId="31" fillId="0" borderId="8" xfId="1" applyFont="1" applyBorder="1">
      <alignment vertical="center"/>
    </xf>
    <xf numFmtId="38" fontId="31" fillId="0" borderId="36" xfId="1" applyFont="1" applyBorder="1">
      <alignment vertical="center"/>
    </xf>
    <xf numFmtId="38" fontId="31" fillId="0" borderId="37" xfId="1" applyFont="1" applyBorder="1">
      <alignment vertical="center"/>
    </xf>
    <xf numFmtId="38" fontId="31" fillId="0" borderId="39" xfId="1" applyFont="1" applyBorder="1">
      <alignment vertical="center"/>
    </xf>
    <xf numFmtId="38" fontId="31" fillId="0" borderId="40" xfId="1" applyFont="1" applyBorder="1">
      <alignment vertical="center"/>
    </xf>
    <xf numFmtId="38" fontId="31" fillId="0" borderId="41" xfId="1" applyFont="1" applyBorder="1">
      <alignment vertical="center"/>
    </xf>
    <xf numFmtId="38" fontId="31" fillId="0" borderId="38" xfId="1" applyFont="1" applyBorder="1">
      <alignment vertical="center"/>
    </xf>
    <xf numFmtId="38" fontId="31" fillId="0" borderId="43" xfId="0" applyNumberFormat="1" applyFont="1" applyBorder="1" applyAlignment="1">
      <alignment horizontal="right" vertical="center"/>
    </xf>
    <xf numFmtId="38" fontId="31" fillId="0" borderId="43" xfId="1" applyFont="1" applyBorder="1" applyAlignment="1">
      <alignment horizontal="right" vertical="center"/>
    </xf>
    <xf numFmtId="38" fontId="31" fillId="0" borderId="44" xfId="1" applyFont="1" applyBorder="1" applyAlignment="1">
      <alignment horizontal="right" vertical="center"/>
    </xf>
    <xf numFmtId="38" fontId="31" fillId="0" borderId="45" xfId="1" applyFont="1" applyBorder="1" applyAlignment="1">
      <alignment horizontal="right" vertical="center"/>
    </xf>
    <xf numFmtId="38" fontId="31" fillId="0" borderId="42" xfId="1" applyFont="1" applyBorder="1" applyAlignment="1">
      <alignment horizontal="right" vertical="center"/>
    </xf>
    <xf numFmtId="38" fontId="31" fillId="0" borderId="4" xfId="1" applyFont="1" applyBorder="1">
      <alignment vertical="center"/>
    </xf>
    <xf numFmtId="38" fontId="31" fillId="0" borderId="10" xfId="1" applyFont="1" applyBorder="1" applyAlignment="1">
      <alignment horizontal="right" vertical="center"/>
    </xf>
    <xf numFmtId="38" fontId="4" fillId="0" borderId="1" xfId="1" applyFont="1" applyBorder="1" applyProtection="1">
      <alignment vertical="center"/>
      <protection hidden="1"/>
    </xf>
    <xf numFmtId="0" fontId="31" fillId="9" borderId="3" xfId="0" applyFont="1" applyFill="1" applyBorder="1">
      <alignment vertical="center"/>
    </xf>
    <xf numFmtId="0" fontId="31" fillId="9" borderId="11" xfId="0" applyFont="1" applyFill="1" applyBorder="1" applyAlignment="1">
      <alignment horizontal="right" vertical="center"/>
    </xf>
    <xf numFmtId="0" fontId="31" fillId="9" borderId="12" xfId="0" applyFont="1" applyFill="1" applyBorder="1">
      <alignment vertical="center"/>
    </xf>
    <xf numFmtId="0" fontId="31" fillId="9" borderId="14" xfId="0" applyFont="1" applyFill="1" applyBorder="1" applyAlignment="1">
      <alignment horizontal="right" vertical="center"/>
    </xf>
    <xf numFmtId="0" fontId="31" fillId="9" borderId="32" xfId="0" applyFont="1" applyFill="1" applyBorder="1">
      <alignment vertical="center"/>
    </xf>
    <xf numFmtId="0" fontId="31" fillId="9" borderId="34" xfId="0" applyFont="1" applyFill="1" applyBorder="1" applyAlignment="1">
      <alignment horizontal="right" vertical="center"/>
    </xf>
    <xf numFmtId="0" fontId="31" fillId="9" borderId="33" xfId="0" applyFont="1" applyFill="1" applyBorder="1">
      <alignment vertical="center"/>
    </xf>
    <xf numFmtId="0" fontId="31" fillId="9" borderId="35" xfId="0" applyFont="1" applyFill="1" applyBorder="1" applyAlignment="1">
      <alignment horizontal="right" vertical="center"/>
    </xf>
    <xf numFmtId="0" fontId="31" fillId="9" borderId="45" xfId="0" applyFont="1" applyFill="1" applyBorder="1" applyAlignment="1">
      <alignment horizontal="center" vertical="center"/>
    </xf>
    <xf numFmtId="0" fontId="31" fillId="9" borderId="39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 applyProtection="1">
      <alignment horizontal="center" vertical="center" shrinkToFit="1"/>
      <protection locked="0"/>
    </xf>
    <xf numFmtId="38" fontId="57" fillId="0" borderId="13" xfId="1" applyFont="1" applyFill="1" applyBorder="1" applyProtection="1">
      <alignment vertical="center"/>
      <protection hidden="1"/>
    </xf>
    <xf numFmtId="185" fontId="0" fillId="0" borderId="0" xfId="1" applyNumberFormat="1" applyFont="1" applyBorder="1" applyProtection="1">
      <alignment vertical="center"/>
      <protection hidden="1"/>
    </xf>
    <xf numFmtId="0" fontId="57" fillId="0" borderId="0" xfId="0" applyFont="1" applyAlignment="1">
      <alignment horizontal="right" vertical="center"/>
    </xf>
    <xf numFmtId="38" fontId="57" fillId="0" borderId="1" xfId="1" applyFont="1" applyFill="1" applyBorder="1" applyProtection="1">
      <alignment vertical="center"/>
      <protection hidden="1"/>
    </xf>
    <xf numFmtId="0" fontId="55" fillId="9" borderId="0" xfId="0" applyFont="1" applyFill="1" applyBorder="1" applyAlignment="1">
      <alignment horizontal="center" vertical="center"/>
    </xf>
    <xf numFmtId="0" fontId="55" fillId="9" borderId="0" xfId="0" applyFont="1" applyFill="1" applyBorder="1" applyAlignment="1">
      <alignment horizontal="left" vertical="center"/>
    </xf>
    <xf numFmtId="38" fontId="55" fillId="0" borderId="0" xfId="0" applyNumberFormat="1" applyFont="1">
      <alignment vertical="center"/>
    </xf>
    <xf numFmtId="38" fontId="55" fillId="0" borderId="0" xfId="1" applyFont="1" applyBorder="1">
      <alignment vertical="center"/>
    </xf>
    <xf numFmtId="0" fontId="51" fillId="0" borderId="0" xfId="0" applyFont="1" applyAlignment="1">
      <alignment horizontal="right" vertical="center"/>
    </xf>
    <xf numFmtId="183" fontId="51" fillId="0" borderId="0" xfId="0" applyNumberFormat="1" applyFont="1">
      <alignment vertical="center"/>
    </xf>
    <xf numFmtId="0" fontId="51" fillId="0" borderId="0" xfId="0" applyFont="1">
      <alignment vertical="center"/>
    </xf>
    <xf numFmtId="0" fontId="13" fillId="0" borderId="0" xfId="0" applyFont="1" applyFill="1" applyProtection="1">
      <alignment vertical="center"/>
    </xf>
    <xf numFmtId="0" fontId="13" fillId="0" borderId="0" xfId="0" applyFont="1" applyAlignment="1">
      <alignment horizontal="right" vertical="center"/>
    </xf>
    <xf numFmtId="0" fontId="31" fillId="0" borderId="3" xfId="0" applyFont="1" applyBorder="1">
      <alignment vertical="center"/>
    </xf>
    <xf numFmtId="0" fontId="31" fillId="0" borderId="0" xfId="0" applyFont="1" applyBorder="1">
      <alignment vertical="center"/>
    </xf>
    <xf numFmtId="178" fontId="31" fillId="0" borderId="1" xfId="0" applyNumberFormat="1" applyFont="1" applyBorder="1">
      <alignment vertical="center"/>
    </xf>
    <xf numFmtId="38" fontId="31" fillId="0" borderId="0" xfId="1" applyFont="1" applyBorder="1" applyProtection="1">
      <alignment vertical="center"/>
      <protection hidden="1"/>
    </xf>
    <xf numFmtId="0" fontId="16" fillId="0" borderId="0" xfId="0" applyFont="1" applyAlignment="1">
      <alignment horizontal="right" vertical="center"/>
    </xf>
    <xf numFmtId="10" fontId="32" fillId="0" borderId="1" xfId="2" applyNumberFormat="1" applyFont="1" applyFill="1" applyBorder="1">
      <alignment vertical="center"/>
    </xf>
    <xf numFmtId="38" fontId="32" fillId="0" borderId="1" xfId="1" applyFont="1" applyFill="1" applyBorder="1">
      <alignment vertical="center"/>
    </xf>
    <xf numFmtId="178" fontId="16" fillId="0" borderId="1" xfId="0" applyNumberFormat="1" applyFont="1" applyFill="1" applyBorder="1">
      <alignment vertical="center"/>
    </xf>
    <xf numFmtId="178" fontId="32" fillId="0" borderId="1" xfId="0" applyNumberFormat="1" applyFont="1" applyFill="1" applyBorder="1">
      <alignment vertical="center"/>
    </xf>
    <xf numFmtId="0" fontId="58" fillId="0" borderId="0" xfId="0" applyFont="1" applyAlignment="1">
      <alignment horizontal="right" vertical="center"/>
    </xf>
    <xf numFmtId="38" fontId="30" fillId="3" borderId="7" xfId="0" applyNumberFormat="1" applyFont="1" applyFill="1" applyBorder="1">
      <alignment vertical="center"/>
    </xf>
    <xf numFmtId="0" fontId="59" fillId="0" borderId="0" xfId="0" applyFont="1" applyAlignment="1">
      <alignment horizontal="right" vertical="center"/>
    </xf>
    <xf numFmtId="0" fontId="59" fillId="0" borderId="0" xfId="0" applyFont="1" applyAlignment="1">
      <alignment horizontal="left" vertical="center"/>
    </xf>
    <xf numFmtId="0" fontId="31" fillId="0" borderId="17" xfId="0" applyFont="1" applyFill="1" applyBorder="1" applyAlignment="1">
      <alignment horizontal="right" vertical="center"/>
    </xf>
    <xf numFmtId="0" fontId="60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0" fillId="0" borderId="0" xfId="0" applyFont="1">
      <alignment vertical="center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left" vertical="center"/>
    </xf>
    <xf numFmtId="0" fontId="34" fillId="4" borderId="1" xfId="0" applyFont="1" applyFill="1" applyBorder="1" applyProtection="1">
      <alignment vertical="center"/>
    </xf>
    <xf numFmtId="182" fontId="34" fillId="4" borderId="1" xfId="0" applyNumberFormat="1" applyFont="1" applyFill="1" applyBorder="1" applyProtection="1">
      <alignment vertical="center"/>
    </xf>
    <xf numFmtId="0" fontId="34" fillId="0" borderId="24" xfId="0" applyFont="1" applyFill="1" applyBorder="1">
      <alignment vertical="center"/>
    </xf>
    <xf numFmtId="0" fontId="34" fillId="5" borderId="8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 shrinkToFit="1"/>
    </xf>
    <xf numFmtId="0" fontId="34" fillId="5" borderId="9" xfId="0" applyFont="1" applyFill="1" applyBorder="1" applyAlignment="1">
      <alignment horizontal="center" vertical="center"/>
    </xf>
    <xf numFmtId="0" fontId="34" fillId="4" borderId="9" xfId="0" applyFont="1" applyFill="1" applyBorder="1" applyProtection="1">
      <alignment vertical="center"/>
    </xf>
    <xf numFmtId="182" fontId="34" fillId="4" borderId="9" xfId="0" applyNumberFormat="1" applyFont="1" applyFill="1" applyBorder="1" applyProtection="1">
      <alignment vertical="center"/>
    </xf>
    <xf numFmtId="182" fontId="34" fillId="0" borderId="9" xfId="0" applyNumberFormat="1" applyFont="1" applyFill="1" applyBorder="1" applyProtection="1">
      <alignment vertical="center"/>
    </xf>
    <xf numFmtId="0" fontId="34" fillId="5" borderId="46" xfId="0" applyFont="1" applyFill="1" applyBorder="1" applyAlignment="1">
      <alignment horizontal="center" vertical="center"/>
    </xf>
    <xf numFmtId="0" fontId="34" fillId="4" borderId="47" xfId="0" applyFont="1" applyFill="1" applyBorder="1" applyProtection="1">
      <alignment vertical="center"/>
    </xf>
    <xf numFmtId="182" fontId="34" fillId="4" borderId="47" xfId="0" applyNumberFormat="1" applyFont="1" applyFill="1" applyBorder="1" applyProtection="1">
      <alignment vertical="center"/>
    </xf>
    <xf numFmtId="182" fontId="34" fillId="0" borderId="47" xfId="0" applyNumberFormat="1" applyFont="1" applyFill="1" applyBorder="1" applyProtection="1">
      <alignment vertical="center"/>
    </xf>
    <xf numFmtId="182" fontId="34" fillId="4" borderId="48" xfId="0" applyNumberFormat="1" applyFont="1" applyFill="1" applyBorder="1" applyProtection="1">
      <alignment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182" fontId="38" fillId="0" borderId="28" xfId="0" applyNumberFormat="1" applyFont="1" applyBorder="1" applyAlignment="1">
      <alignment horizontal="center" vertical="center"/>
    </xf>
    <xf numFmtId="182" fontId="38" fillId="0" borderId="29" xfId="0" applyNumberFormat="1" applyFont="1" applyBorder="1" applyAlignment="1">
      <alignment horizontal="center" vertical="center"/>
    </xf>
    <xf numFmtId="182" fontId="38" fillId="0" borderId="30" xfId="0" applyNumberFormat="1" applyFont="1" applyBorder="1" applyAlignment="1">
      <alignment horizontal="center" vertical="center"/>
    </xf>
    <xf numFmtId="0" fontId="41" fillId="0" borderId="17" xfId="0" applyNumberFormat="1" applyFont="1" applyBorder="1" applyAlignment="1">
      <alignment horizontal="left" vertical="center"/>
    </xf>
    <xf numFmtId="0" fontId="41" fillId="0" borderId="0" xfId="0" applyNumberFormat="1" applyFont="1" applyAlignment="1">
      <alignment horizontal="left" vertical="center"/>
    </xf>
    <xf numFmtId="0" fontId="41" fillId="0" borderId="0" xfId="0" applyNumberFormat="1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16" fillId="4" borderId="3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4" borderId="4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8" fillId="5" borderId="3" xfId="0" applyFont="1" applyFill="1" applyBorder="1" applyAlignment="1">
      <alignment horizontal="center" vertical="center" shrinkToFit="1"/>
    </xf>
    <xf numFmtId="0" fontId="18" fillId="5" borderId="11" xfId="0" applyFont="1" applyFill="1" applyBorder="1" applyAlignment="1">
      <alignment horizontal="center" vertical="center" shrinkToFit="1"/>
    </xf>
    <xf numFmtId="178" fontId="19" fillId="5" borderId="3" xfId="1" applyNumberFormat="1" applyFont="1" applyFill="1" applyBorder="1" applyAlignment="1">
      <alignment horizontal="center" vertical="center"/>
    </xf>
    <xf numFmtId="178" fontId="19" fillId="5" borderId="11" xfId="1" applyNumberFormat="1" applyFont="1" applyFill="1" applyBorder="1" applyAlignment="1">
      <alignment horizontal="center" vertical="center"/>
    </xf>
    <xf numFmtId="178" fontId="19" fillId="5" borderId="20" xfId="1" applyNumberFormat="1" applyFont="1" applyFill="1" applyBorder="1" applyAlignment="1">
      <alignment horizontal="center" vertical="center"/>
    </xf>
    <xf numFmtId="178" fontId="19" fillId="5" borderId="22" xfId="1" applyNumberFormat="1" applyFont="1" applyFill="1" applyBorder="1" applyAlignment="1">
      <alignment horizontal="center" vertical="center"/>
    </xf>
    <xf numFmtId="178" fontId="18" fillId="5" borderId="9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right" vertical="center" shrinkToFit="1"/>
    </xf>
    <xf numFmtId="38" fontId="18" fillId="5" borderId="1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7" borderId="0" xfId="0" applyFill="1" applyAlignment="1">
      <alignment horizontal="righ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38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0" fillId="0" borderId="3" xfId="0" applyNumberFormat="1" applyBorder="1" applyAlignment="1">
      <alignment horizontal="right" vertical="center"/>
    </xf>
    <xf numFmtId="9" fontId="0" fillId="0" borderId="4" xfId="0" applyNumberForma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6">
    <cellStyle name="パーセント" xfId="2" builtinId="5"/>
    <cellStyle name="パーセント 2" xfId="5" xr:uid="{00000000-0005-0000-0000-000001000000}"/>
    <cellStyle name="桁区切り" xfId="1" builtinId="6"/>
    <cellStyle name="桁区切り 2" xfId="4" xr:uid="{00000000-0005-0000-0000-000003000000}"/>
    <cellStyle name="標準" xfId="0" builtinId="0"/>
    <cellStyle name="標準 2" xfId="3" xr:uid="{00000000-0005-0000-0000-000005000000}"/>
  </cellStyles>
  <dxfs count="8">
    <dxf>
      <font>
        <b/>
        <i val="0"/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ont>
        <color rgb="FF0070C0"/>
      </font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108856</xdr:colOff>
          <xdr:row>9</xdr:row>
          <xdr:rowOff>58576</xdr:rowOff>
        </xdr:from>
        <xdr:to>
          <xdr:col>4</xdr:col>
          <xdr:colOff>326570</xdr:colOff>
          <xdr:row>21</xdr:row>
          <xdr:rowOff>128881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計算!$AD$32:$AI$44" spid="_x0000_s43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8856" y="1650612"/>
              <a:ext cx="4068535" cy="219301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13</xdr:col>
      <xdr:colOff>244929</xdr:colOff>
      <xdr:row>7</xdr:row>
      <xdr:rowOff>4081</xdr:rowOff>
    </xdr:from>
    <xdr:to>
      <xdr:col>13</xdr:col>
      <xdr:colOff>557894</xdr:colOff>
      <xdr:row>25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B125591-F9B8-43FD-A9B3-900246670811}"/>
            </a:ext>
          </a:extLst>
        </xdr:cNvPr>
        <xdr:cNvSpPr/>
      </xdr:nvSpPr>
      <xdr:spPr>
        <a:xfrm>
          <a:off x="12940393" y="1242331"/>
          <a:ext cx="312965" cy="3179990"/>
        </a:xfrm>
        <a:prstGeom prst="roundRect">
          <a:avLst>
            <a:gd name="adj" fmla="val 7844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赤文字が例年のメンテ項目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8</xdr:row>
      <xdr:rowOff>258535</xdr:rowOff>
    </xdr:from>
    <xdr:to>
      <xdr:col>1</xdr:col>
      <xdr:colOff>966107</xdr:colOff>
      <xdr:row>13</xdr:row>
      <xdr:rowOff>13606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B3BB598-7BA0-48FF-8540-57072D9972FD}"/>
            </a:ext>
          </a:extLst>
        </xdr:cNvPr>
        <xdr:cNvSpPr/>
      </xdr:nvSpPr>
      <xdr:spPr>
        <a:xfrm>
          <a:off x="190501" y="2653392"/>
          <a:ext cx="1932213" cy="1251857"/>
        </a:xfrm>
        <a:prstGeom prst="wedgeRectCallout">
          <a:avLst>
            <a:gd name="adj1" fmla="val 30970"/>
            <a:gd name="adj2" fmla="val -91382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加入の有無を選択してください。なお、世帯主のみ「国保加入しない」を選択できます。</a:t>
          </a:r>
        </a:p>
      </xdr:txBody>
    </xdr:sp>
    <xdr:clientData/>
  </xdr:twoCellAnchor>
  <xdr:twoCellAnchor>
    <xdr:from>
      <xdr:col>2</xdr:col>
      <xdr:colOff>302081</xdr:colOff>
      <xdr:row>8</xdr:row>
      <xdr:rowOff>274864</xdr:rowOff>
    </xdr:from>
    <xdr:to>
      <xdr:col>3</xdr:col>
      <xdr:colOff>217715</xdr:colOff>
      <xdr:row>11</xdr:row>
      <xdr:rowOff>13607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8E9707A-FBA9-443D-A180-2E5EE17F08AC}"/>
            </a:ext>
          </a:extLst>
        </xdr:cNvPr>
        <xdr:cNvSpPr/>
      </xdr:nvSpPr>
      <xdr:spPr>
        <a:xfrm>
          <a:off x="2628902" y="2669721"/>
          <a:ext cx="1303563" cy="636815"/>
        </a:xfrm>
        <a:prstGeom prst="wedgeRectCallout">
          <a:avLst>
            <a:gd name="adj1" fmla="val -13727"/>
            <a:gd name="adj2" fmla="val -131269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年齢の範囲を選択してください。</a:t>
          </a:r>
        </a:p>
      </xdr:txBody>
    </xdr:sp>
    <xdr:clientData/>
  </xdr:twoCellAnchor>
  <xdr:twoCellAnchor>
    <xdr:from>
      <xdr:col>3</xdr:col>
      <xdr:colOff>830036</xdr:colOff>
      <xdr:row>9</xdr:row>
      <xdr:rowOff>5441</xdr:rowOff>
    </xdr:from>
    <xdr:to>
      <xdr:col>5</xdr:col>
      <xdr:colOff>272142</xdr:colOff>
      <xdr:row>12</xdr:row>
      <xdr:rowOff>285750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8C948C0-135E-43C5-A1E1-A2ED719927D4}"/>
            </a:ext>
          </a:extLst>
        </xdr:cNvPr>
        <xdr:cNvSpPr/>
      </xdr:nvSpPr>
      <xdr:spPr>
        <a:xfrm>
          <a:off x="4544786" y="2699655"/>
          <a:ext cx="2571749" cy="1178381"/>
        </a:xfrm>
        <a:prstGeom prst="wedgeRectCallout">
          <a:avLst>
            <a:gd name="adj1" fmla="val -38850"/>
            <a:gd name="adj2" fmla="val -93145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給与</a:t>
          </a:r>
          <a:r>
            <a:rPr kumimoji="1" lang="ja-JP" altLang="en-US" sz="1100">
              <a:solidFill>
                <a:srgbClr val="FF0000"/>
              </a:solidFill>
            </a:rPr>
            <a:t>収入</a:t>
          </a:r>
          <a:r>
            <a:rPr kumimoji="1" lang="ja-JP" altLang="en-US" sz="1100"/>
            <a:t>を半角数字で入力してください。「円」は不要です。</a:t>
          </a:r>
          <a:endParaRPr kumimoji="1" lang="en-US" altLang="ja-JP" sz="1100"/>
        </a:p>
        <a:p>
          <a:pPr algn="l"/>
          <a:r>
            <a:rPr kumimoji="1" lang="ja-JP" altLang="en-US" sz="1100"/>
            <a:t>（給与</a:t>
          </a:r>
          <a:r>
            <a:rPr kumimoji="1" lang="ja-JP" altLang="en-US" sz="1100" u="sng"/>
            <a:t>所得</a:t>
          </a:r>
          <a:r>
            <a:rPr kumimoji="1" lang="ja-JP" altLang="en-US" sz="1100"/>
            <a:t>ではありませんので、ご注意ください。）</a:t>
          </a:r>
        </a:p>
      </xdr:txBody>
    </xdr:sp>
    <xdr:clientData/>
  </xdr:twoCellAnchor>
  <xdr:twoCellAnchor>
    <xdr:from>
      <xdr:col>5</xdr:col>
      <xdr:colOff>952500</xdr:colOff>
      <xdr:row>9</xdr:row>
      <xdr:rowOff>10884</xdr:rowOff>
    </xdr:from>
    <xdr:to>
      <xdr:col>7</xdr:col>
      <xdr:colOff>413844</xdr:colOff>
      <xdr:row>12</xdr:row>
      <xdr:rowOff>285750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4C7B93A6-74E6-4979-AC22-67795DB8BF66}"/>
            </a:ext>
          </a:extLst>
        </xdr:cNvPr>
        <xdr:cNvSpPr/>
      </xdr:nvSpPr>
      <xdr:spPr>
        <a:xfrm>
          <a:off x="7796893" y="2705098"/>
          <a:ext cx="2563772" cy="1172938"/>
        </a:xfrm>
        <a:prstGeom prst="wedgeRectCallout">
          <a:avLst>
            <a:gd name="adj1" fmla="val -42929"/>
            <a:gd name="adj2" fmla="val -95541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年金</a:t>
          </a:r>
          <a:r>
            <a:rPr kumimoji="1" lang="ja-JP" altLang="en-US" sz="1100">
              <a:solidFill>
                <a:srgbClr val="FF0000"/>
              </a:solidFill>
            </a:rPr>
            <a:t>収入</a:t>
          </a:r>
          <a:r>
            <a:rPr kumimoji="1" lang="ja-JP" altLang="en-US" sz="1100"/>
            <a:t>を半角数字で入力してください。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「円」は不要です</a:t>
          </a:r>
          <a:r>
            <a:rPr kumimoji="1" lang="ja-JP" altLang="en-US" sz="1100"/>
            <a:t>。</a:t>
          </a:r>
          <a:endParaRPr kumimoji="1" lang="en-US" altLang="ja-JP" sz="1100"/>
        </a:p>
        <a:p>
          <a:pPr algn="l"/>
          <a:r>
            <a:rPr kumimoji="1" lang="ja-JP" altLang="en-US" sz="1100"/>
            <a:t>（年金</a:t>
          </a:r>
          <a:r>
            <a:rPr kumimoji="1" lang="ja-JP" altLang="en-US" sz="1100" u="sng">
              <a:solidFill>
                <a:sysClr val="windowText" lastClr="000000"/>
              </a:solidFill>
            </a:rPr>
            <a:t>所得</a:t>
          </a:r>
          <a:r>
            <a:rPr kumimoji="1" lang="ja-JP" altLang="en-US" sz="1100"/>
            <a:t>ではありませんので、ご注意ください。）</a:t>
          </a:r>
        </a:p>
      </xdr:txBody>
    </xdr:sp>
    <xdr:clientData/>
  </xdr:twoCellAnchor>
  <xdr:twoCellAnchor>
    <xdr:from>
      <xdr:col>7</xdr:col>
      <xdr:colOff>1088571</xdr:colOff>
      <xdr:row>9</xdr:row>
      <xdr:rowOff>16330</xdr:rowOff>
    </xdr:from>
    <xdr:to>
      <xdr:col>9</xdr:col>
      <xdr:colOff>1006929</xdr:colOff>
      <xdr:row>14</xdr:row>
      <xdr:rowOff>108857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866E97AC-0768-42D3-B1C9-6BDDBD41F49F}"/>
            </a:ext>
          </a:extLst>
        </xdr:cNvPr>
        <xdr:cNvSpPr/>
      </xdr:nvSpPr>
      <xdr:spPr>
        <a:xfrm>
          <a:off x="11035392" y="2710544"/>
          <a:ext cx="3020787" cy="1589313"/>
        </a:xfrm>
        <a:prstGeom prst="wedgeRectCallout">
          <a:avLst>
            <a:gd name="adj1" fmla="val -34911"/>
            <a:gd name="adj2" fmla="val -86956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給与・年金以外の</a:t>
          </a:r>
          <a:r>
            <a:rPr kumimoji="1" lang="ja-JP" altLang="en-US" sz="1100">
              <a:solidFill>
                <a:srgbClr val="FF0000"/>
              </a:solidFill>
            </a:rPr>
            <a:t>所得</a:t>
          </a:r>
          <a:r>
            <a:rPr kumimoji="1" lang="ja-JP" altLang="en-US" sz="1100"/>
            <a:t>があった方は、それらの</a:t>
          </a:r>
          <a:r>
            <a:rPr kumimoji="1" lang="ja-JP" altLang="en-US" sz="1100">
              <a:solidFill>
                <a:srgbClr val="FF0000"/>
              </a:solidFill>
            </a:rPr>
            <a:t>所得</a:t>
          </a:r>
          <a:r>
            <a:rPr kumimoji="1" lang="ja-JP" altLang="en-US" sz="1100"/>
            <a:t>の合計金額を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半角数字で入力してください。「円」は不要です。</a:t>
          </a:r>
          <a:endParaRPr kumimoji="1" lang="en-US" altLang="ja-JP" sz="1100"/>
        </a:p>
        <a:p>
          <a:pPr algn="l"/>
          <a:r>
            <a:rPr kumimoji="1" lang="ja-JP" altLang="en-US" sz="1100"/>
            <a:t>（こちらは</a:t>
          </a:r>
          <a:r>
            <a:rPr kumimoji="1" lang="ja-JP" altLang="en-US" sz="1100" u="sng"/>
            <a:t>収入</a:t>
          </a:r>
          <a:r>
            <a:rPr kumimoji="1" lang="ja-JP" altLang="en-US" sz="1100"/>
            <a:t>ではなく</a:t>
          </a:r>
          <a:r>
            <a:rPr kumimoji="1" lang="ja-JP" altLang="en-US" sz="1100">
              <a:solidFill>
                <a:srgbClr val="FF0000"/>
              </a:solidFill>
            </a:rPr>
            <a:t>所得</a:t>
          </a:r>
          <a:r>
            <a:rPr kumimoji="1" lang="ja-JP" altLang="en-US" sz="1100"/>
            <a:t>を入力してください。）</a:t>
          </a:r>
        </a:p>
      </xdr:txBody>
    </xdr:sp>
    <xdr:clientData/>
  </xdr:twoCellAnchor>
  <xdr:twoCellAnchor>
    <xdr:from>
      <xdr:col>8</xdr:col>
      <xdr:colOff>440878</xdr:colOff>
      <xdr:row>1</xdr:row>
      <xdr:rowOff>277584</xdr:rowOff>
    </xdr:from>
    <xdr:to>
      <xdr:col>9</xdr:col>
      <xdr:colOff>1047750</xdr:colOff>
      <xdr:row>3</xdr:row>
      <xdr:rowOff>68035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29328D5F-94F0-4097-B938-7477F9B3A4B5}"/>
            </a:ext>
          </a:extLst>
        </xdr:cNvPr>
        <xdr:cNvSpPr/>
      </xdr:nvSpPr>
      <xdr:spPr>
        <a:xfrm>
          <a:off x="11938914" y="576941"/>
          <a:ext cx="2158086" cy="389165"/>
        </a:xfrm>
        <a:prstGeom prst="wedgeRectCallout">
          <a:avLst>
            <a:gd name="adj1" fmla="val -67565"/>
            <a:gd name="adj2" fmla="val -437"/>
          </a:avLst>
        </a:prstGeom>
        <a:ln w="28575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世帯主の行は入力必須です。</a:t>
          </a:r>
        </a:p>
      </xdr:txBody>
    </xdr:sp>
    <xdr:clientData/>
  </xdr:twoCellAnchor>
  <xdr:twoCellAnchor>
    <xdr:from>
      <xdr:col>5</xdr:col>
      <xdr:colOff>979714</xdr:colOff>
      <xdr:row>19</xdr:row>
      <xdr:rowOff>149678</xdr:rowOff>
    </xdr:from>
    <xdr:to>
      <xdr:col>7</xdr:col>
      <xdr:colOff>1211036</xdr:colOff>
      <xdr:row>21</xdr:row>
      <xdr:rowOff>13607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CE33DC12-F312-4DD4-8987-2FADBA643FE9}"/>
            </a:ext>
          </a:extLst>
        </xdr:cNvPr>
        <xdr:cNvSpPr/>
      </xdr:nvSpPr>
      <xdr:spPr>
        <a:xfrm>
          <a:off x="7824107" y="5837464"/>
          <a:ext cx="3333750" cy="462643"/>
        </a:xfrm>
        <a:prstGeom prst="wedgeRectCallout">
          <a:avLst>
            <a:gd name="adj1" fmla="val -73910"/>
            <a:gd name="adj2" fmla="val -21688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試算結果はこちらに表示されます。</a:t>
          </a:r>
        </a:p>
      </xdr:txBody>
    </xdr:sp>
    <xdr:clientData/>
  </xdr:twoCellAnchor>
  <xdr:twoCellAnchor>
    <xdr:from>
      <xdr:col>8</xdr:col>
      <xdr:colOff>179617</xdr:colOff>
      <xdr:row>16</xdr:row>
      <xdr:rowOff>70754</xdr:rowOff>
    </xdr:from>
    <xdr:to>
      <xdr:col>9</xdr:col>
      <xdr:colOff>830036</xdr:colOff>
      <xdr:row>18</xdr:row>
      <xdr:rowOff>149675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7874072F-9B94-44F9-BEA2-135784E86980}"/>
            </a:ext>
          </a:extLst>
        </xdr:cNvPr>
        <xdr:cNvSpPr/>
      </xdr:nvSpPr>
      <xdr:spPr>
        <a:xfrm>
          <a:off x="11677653" y="4860468"/>
          <a:ext cx="2201633" cy="677636"/>
        </a:xfrm>
        <a:prstGeom prst="wedgeRectCallout">
          <a:avLst>
            <a:gd name="adj1" fmla="val -72145"/>
            <a:gd name="adj2" fmla="val -18813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軽減等に該当する場合、こちらにその内容が表示されます。</a:t>
          </a:r>
        </a:p>
      </xdr:txBody>
    </xdr:sp>
    <xdr:clientData/>
  </xdr:twoCellAnchor>
  <xdr:twoCellAnchor>
    <xdr:from>
      <xdr:col>5</xdr:col>
      <xdr:colOff>0</xdr:colOff>
      <xdr:row>15</xdr:row>
      <xdr:rowOff>204107</xdr:rowOff>
    </xdr:from>
    <xdr:to>
      <xdr:col>7</xdr:col>
      <xdr:colOff>1183822</xdr:colOff>
      <xdr:row>18</xdr:row>
      <xdr:rowOff>68035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E40BC65-4D0A-46C8-A4B3-495C0B34452A}"/>
            </a:ext>
          </a:extLst>
        </xdr:cNvPr>
        <xdr:cNvSpPr/>
      </xdr:nvSpPr>
      <xdr:spPr>
        <a:xfrm>
          <a:off x="6844393" y="4694464"/>
          <a:ext cx="4286250" cy="762000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244927</xdr:colOff>
      <xdr:row>22</xdr:row>
      <xdr:rowOff>40821</xdr:rowOff>
    </xdr:from>
    <xdr:to>
      <xdr:col>8</xdr:col>
      <xdr:colOff>789213</xdr:colOff>
      <xdr:row>25</xdr:row>
      <xdr:rowOff>86143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91EFF5B2-B1AA-4383-9FDD-5DE8358B0218}"/>
            </a:ext>
          </a:extLst>
        </xdr:cNvPr>
        <xdr:cNvSpPr/>
      </xdr:nvSpPr>
      <xdr:spPr>
        <a:xfrm>
          <a:off x="2571748" y="6504214"/>
          <a:ext cx="9715501" cy="576000"/>
        </a:xfrm>
        <a:prstGeom prst="roundRect">
          <a:avLst/>
        </a:prstGeom>
        <a:ln w="34925" cmpd="dbl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この画面の入力値・試算結果は、あくまで例です。この画面どおりの試算結果にはなりません。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9"/>
  <sheetViews>
    <sheetView tabSelected="1" zoomScale="70" zoomScaleNormal="70" workbookViewId="0">
      <selection activeCell="B3" sqref="B3"/>
    </sheetView>
  </sheetViews>
  <sheetFormatPr defaultRowHeight="13.5"/>
  <cols>
    <col min="1" max="1" width="15.125" bestFit="1" customWidth="1"/>
    <col min="2" max="2" width="15.375" bestFit="1" customWidth="1"/>
    <col min="3" max="3" width="18.25" bestFit="1" customWidth="1"/>
    <col min="4" max="5" width="20.5" customWidth="1"/>
    <col min="6" max="8" width="20.375" customWidth="1"/>
    <col min="9" max="12" width="20.375" hidden="1" customWidth="1"/>
    <col min="13" max="14" width="20.625" hidden="1" customWidth="1"/>
    <col min="15" max="15" width="20.625" customWidth="1"/>
    <col min="16" max="28" width="17" customWidth="1"/>
  </cols>
  <sheetData>
    <row r="1" spans="1:19" ht="23.25" customHeight="1">
      <c r="A1" s="141" t="str">
        <f>計算!M1&amp;+"　堺市国民健康保険料　試算シート"</f>
        <v>令和7年度　堺市国民健康保険料　試算シート</v>
      </c>
      <c r="B1" s="142"/>
      <c r="C1" s="142"/>
      <c r="D1" s="142"/>
      <c r="E1" s="142"/>
      <c r="F1" s="142"/>
      <c r="G1" s="142"/>
      <c r="H1" s="142"/>
      <c r="I1" s="143" t="str">
        <f>計算!N28</f>
        <v>ver17-2</v>
      </c>
      <c r="J1" s="208"/>
    </row>
    <row r="2" spans="1:19" ht="23.25" customHeight="1">
      <c r="A2" s="144"/>
      <c r="B2" s="145" t="s">
        <v>122</v>
      </c>
      <c r="C2" s="145" t="s">
        <v>105</v>
      </c>
      <c r="D2" s="145" t="s">
        <v>130</v>
      </c>
      <c r="E2" s="207" t="str">
        <f>IF(SUM(E20:E25)&gt;0,"給与所得(調整控除後)","給与所得")</f>
        <v>給与所得</v>
      </c>
      <c r="F2" s="145" t="s">
        <v>131</v>
      </c>
      <c r="G2" s="145" t="s">
        <v>189</v>
      </c>
      <c r="H2" s="207" t="s">
        <v>149</v>
      </c>
      <c r="I2" s="220" t="s">
        <v>213</v>
      </c>
      <c r="J2" t="s">
        <v>223</v>
      </c>
    </row>
    <row r="3" spans="1:19" ht="23.25" customHeight="1">
      <c r="A3" s="145" t="s">
        <v>107</v>
      </c>
      <c r="B3" s="146" t="s">
        <v>104</v>
      </c>
      <c r="C3" s="146" t="s">
        <v>114</v>
      </c>
      <c r="D3" s="147">
        <v>3000000</v>
      </c>
      <c r="E3" s="175">
        <f>IF(D3="","",D20-E20)</f>
        <v>2020000</v>
      </c>
      <c r="F3" s="147"/>
      <c r="G3" s="175" t="str">
        <f>IF(F3="","",F20)</f>
        <v/>
      </c>
      <c r="H3" s="147"/>
      <c r="I3" s="148" t="str">
        <f t="shared" ref="I3:I8" si="0">IF(AND(V20=0,COUNTA(D3,F3,H3)&lt;&gt;0),"←エラーがあります","")</f>
        <v/>
      </c>
      <c r="J3" s="221" t="s">
        <v>270</v>
      </c>
    </row>
    <row r="4" spans="1:19" ht="23.25" customHeight="1">
      <c r="A4" s="145" t="s">
        <v>108</v>
      </c>
      <c r="B4" s="146" t="s">
        <v>104</v>
      </c>
      <c r="C4" s="146" t="s">
        <v>114</v>
      </c>
      <c r="D4" s="147"/>
      <c r="E4" s="175" t="str">
        <f t="shared" ref="E4:E8" si="1">IF(D4="","",D21-E21)</f>
        <v/>
      </c>
      <c r="F4" s="147"/>
      <c r="G4" s="175" t="str">
        <f t="shared" ref="G4:G8" si="2">IF(F4="","",F21)</f>
        <v/>
      </c>
      <c r="H4" s="147"/>
      <c r="I4" s="148" t="str">
        <f t="shared" si="0"/>
        <v/>
      </c>
      <c r="J4" s="230" t="str">
        <f>IF(AND(H20="",H21="",H22="",H23="",H24="",H25="",I20="",I21="",I22="",I23="",I24="",I25="",B37="",B38="",B39="",B40="",B41="",B42="",B51="",B52="",B53="",B54="",B55="",B56="",D51="",D52="",D53="",D54="",D55="",D56="",計算!A2="",計算!B2="",計算!C2="",計算!D2="",計算!M20="",計算!G25=12,計算!I25="",計算!J25="",計算!K25="",計算!I26="",計算!J26="",計算!K26="",計算!G27="",計算!I27="",計算!J27=""),"黄色セルチェックOK","黄色セルチェックNG")</f>
        <v>黄色セルチェックOK</v>
      </c>
    </row>
    <row r="5" spans="1:19" ht="23.25" customHeight="1">
      <c r="A5" s="145" t="s">
        <v>109</v>
      </c>
      <c r="B5" s="146" t="s">
        <v>104</v>
      </c>
      <c r="C5" s="146" t="s">
        <v>211</v>
      </c>
      <c r="D5" s="147"/>
      <c r="E5" s="175" t="str">
        <f t="shared" si="1"/>
        <v/>
      </c>
      <c r="F5" s="147"/>
      <c r="G5" s="175" t="str">
        <f t="shared" si="2"/>
        <v/>
      </c>
      <c r="H5" s="147"/>
      <c r="I5" s="148" t="str">
        <f t="shared" si="0"/>
        <v/>
      </c>
    </row>
    <row r="6" spans="1:19" ht="23.25" customHeight="1">
      <c r="A6" s="145" t="s">
        <v>110</v>
      </c>
      <c r="B6" s="146"/>
      <c r="C6" s="146"/>
      <c r="D6" s="147"/>
      <c r="E6" s="175" t="str">
        <f t="shared" si="1"/>
        <v/>
      </c>
      <c r="F6" s="147"/>
      <c r="G6" s="175" t="str">
        <f t="shared" si="2"/>
        <v/>
      </c>
      <c r="H6" s="147"/>
      <c r="I6" s="148" t="str">
        <f t="shared" si="0"/>
        <v/>
      </c>
    </row>
    <row r="7" spans="1:19" ht="23.25" customHeight="1">
      <c r="A7" s="145" t="s">
        <v>111</v>
      </c>
      <c r="B7" s="146"/>
      <c r="C7" s="146"/>
      <c r="D7" s="147"/>
      <c r="E7" s="175" t="str">
        <f t="shared" si="1"/>
        <v/>
      </c>
      <c r="F7" s="147"/>
      <c r="G7" s="175" t="str">
        <f t="shared" si="2"/>
        <v/>
      </c>
      <c r="H7" s="147"/>
      <c r="I7" s="148" t="str">
        <f t="shared" si="0"/>
        <v/>
      </c>
    </row>
    <row r="8" spans="1:19" ht="23.25" hidden="1" customHeight="1">
      <c r="A8" s="180" t="s">
        <v>112</v>
      </c>
      <c r="B8" s="181"/>
      <c r="C8" s="181"/>
      <c r="D8" s="182"/>
      <c r="E8" s="183" t="str">
        <f t="shared" si="1"/>
        <v/>
      </c>
      <c r="F8" s="182"/>
      <c r="G8" s="183" t="str">
        <f t="shared" si="2"/>
        <v/>
      </c>
      <c r="H8" s="182"/>
      <c r="I8" s="184" t="str">
        <f t="shared" si="0"/>
        <v/>
      </c>
      <c r="J8" s="149" t="s">
        <v>167</v>
      </c>
    </row>
    <row r="9" spans="1:19" ht="23.25" customHeight="1">
      <c r="A9" s="142"/>
      <c r="B9" s="142"/>
      <c r="C9" s="142"/>
      <c r="D9" s="142"/>
      <c r="E9" s="142"/>
      <c r="F9" s="142"/>
      <c r="G9" s="142"/>
      <c r="H9" s="176" t="s">
        <v>206</v>
      </c>
    </row>
    <row r="10" spans="1:19" ht="23.25" customHeight="1">
      <c r="A10" s="149"/>
      <c r="B10" s="150"/>
      <c r="C10" s="151" t="s">
        <v>11</v>
      </c>
      <c r="D10" s="151" t="s">
        <v>13</v>
      </c>
      <c r="E10" s="151" t="s">
        <v>12</v>
      </c>
      <c r="F10" s="142"/>
      <c r="I10" s="142" t="s">
        <v>162</v>
      </c>
    </row>
    <row r="11" spans="1:19" ht="23.25" customHeight="1">
      <c r="A11" s="149"/>
      <c r="B11" s="151" t="s">
        <v>14</v>
      </c>
      <c r="C11" s="152">
        <f>計算!B16</f>
        <v>147870</v>
      </c>
      <c r="D11" s="152">
        <f>計算!C16</f>
        <v>48018</v>
      </c>
      <c r="E11" s="152">
        <f>計算!D16</f>
        <v>40704</v>
      </c>
      <c r="F11" s="142"/>
      <c r="I11" s="142" t="s">
        <v>163</v>
      </c>
      <c r="R11" s="110"/>
    </row>
    <row r="12" spans="1:19" ht="23.25" customHeight="1">
      <c r="A12" s="149"/>
      <c r="B12" s="151" t="s">
        <v>15</v>
      </c>
      <c r="C12" s="152">
        <f>計算!B18</f>
        <v>68847</v>
      </c>
      <c r="D12" s="152">
        <f>計算!C18</f>
        <v>22067</v>
      </c>
      <c r="E12" s="152">
        <f>計算!D18</f>
        <v>30054</v>
      </c>
      <c r="F12" s="336" t="str">
        <f>IF(計算!U24=0,"","←政令軽減"&amp;+計算!U24*10&amp;+"割該当")&amp;+IF(G51=0,"","　未就学児"&amp;+G51&amp;+"名の均等割額を1/2軽減")</f>
        <v>←政令軽減2割該当　未就学児1名の均等割額を1/2軽減</v>
      </c>
      <c r="G12" s="338"/>
      <c r="H12" s="338"/>
      <c r="I12" s="142" t="s">
        <v>164</v>
      </c>
      <c r="R12" s="110"/>
    </row>
    <row r="13" spans="1:19" ht="23.25" customHeight="1">
      <c r="A13" s="149"/>
      <c r="B13" s="151" t="s">
        <v>16</v>
      </c>
      <c r="C13" s="152">
        <f>計算!B19</f>
        <v>26859</v>
      </c>
      <c r="D13" s="152">
        <f>計算!C19</f>
        <v>8608</v>
      </c>
      <c r="E13" s="152"/>
      <c r="F13" s="336" t="str">
        <f>IF(計算!U24=0,"","←政令軽減"&amp;+計算!U24*10&amp;+"割該当")</f>
        <v>←政令軽減2割該当</v>
      </c>
      <c r="G13" s="337"/>
      <c r="I13" s="142" t="s">
        <v>165</v>
      </c>
      <c r="R13" s="110"/>
    </row>
    <row r="14" spans="1:19" ht="23.25" customHeight="1" thickBot="1">
      <c r="A14" s="149"/>
      <c r="B14" s="153" t="s">
        <v>25</v>
      </c>
      <c r="C14" s="154">
        <f>計算!B20</f>
        <v>0</v>
      </c>
      <c r="D14" s="154">
        <f>計算!C20</f>
        <v>0</v>
      </c>
      <c r="E14" s="154">
        <f>計算!D20</f>
        <v>0</v>
      </c>
      <c r="F14" s="142"/>
      <c r="I14" s="142" t="s">
        <v>166</v>
      </c>
      <c r="R14" s="110"/>
    </row>
    <row r="15" spans="1:19" ht="23.25" customHeight="1" thickTop="1" thickBot="1">
      <c r="A15" s="149"/>
      <c r="B15" s="155" t="s">
        <v>17</v>
      </c>
      <c r="C15" s="156">
        <f>計算!B21</f>
        <v>243576</v>
      </c>
      <c r="D15" s="214">
        <f>計算!C21</f>
        <v>78693</v>
      </c>
      <c r="E15" s="156">
        <f>計算!D21</f>
        <v>70758</v>
      </c>
      <c r="F15" s="142"/>
      <c r="I15" s="142" t="s">
        <v>148</v>
      </c>
      <c r="R15" s="110"/>
    </row>
    <row r="16" spans="1:19" ht="23.25" customHeight="1" thickTop="1" thickBot="1">
      <c r="A16" s="149"/>
      <c r="B16" s="157" t="s">
        <v>20</v>
      </c>
      <c r="C16" s="333">
        <f>計算!G23</f>
        <v>393027</v>
      </c>
      <c r="D16" s="334"/>
      <c r="E16" s="335"/>
      <c r="F16" s="142"/>
      <c r="G16" s="142"/>
      <c r="S16" s="110"/>
    </row>
    <row r="17" spans="1:23" ht="14.25" thickTop="1">
      <c r="A17" s="51"/>
    </row>
    <row r="18" spans="1:23" hidden="1">
      <c r="A18" s="37" t="s">
        <v>222</v>
      </c>
      <c r="D18" s="76" t="s">
        <v>157</v>
      </c>
      <c r="I18" s="135"/>
      <c r="J18" s="177" t="s">
        <v>156</v>
      </c>
      <c r="L18" s="73"/>
      <c r="Q18" s="73"/>
      <c r="S18" s="177" t="s">
        <v>198</v>
      </c>
    </row>
    <row r="19" spans="1:23" hidden="1">
      <c r="B19" t="s">
        <v>124</v>
      </c>
      <c r="C19" t="s">
        <v>125</v>
      </c>
      <c r="D19" s="158" t="s">
        <v>133</v>
      </c>
      <c r="E19" s="159" t="s">
        <v>132</v>
      </c>
      <c r="F19" s="160" t="s">
        <v>126</v>
      </c>
      <c r="G19" s="77" t="s">
        <v>151</v>
      </c>
      <c r="H19" s="135" t="s">
        <v>188</v>
      </c>
      <c r="I19" s="135" t="s">
        <v>150</v>
      </c>
      <c r="J19" s="161" t="s">
        <v>152</v>
      </c>
      <c r="K19" s="161" t="s">
        <v>132</v>
      </c>
      <c r="L19" s="161" t="s">
        <v>159</v>
      </c>
      <c r="M19" s="161" t="s">
        <v>153</v>
      </c>
      <c r="N19" s="161" t="s">
        <v>154</v>
      </c>
      <c r="O19" s="161" t="s">
        <v>151</v>
      </c>
      <c r="P19" s="161" t="s">
        <v>155</v>
      </c>
      <c r="Q19" s="161" t="s">
        <v>158</v>
      </c>
      <c r="R19" s="161" t="s">
        <v>106</v>
      </c>
      <c r="S19" s="161" t="s">
        <v>199</v>
      </c>
      <c r="T19" s="161" t="s">
        <v>169</v>
      </c>
      <c r="U19" t="s">
        <v>127</v>
      </c>
      <c r="V19" t="s">
        <v>123</v>
      </c>
      <c r="W19" s="73"/>
    </row>
    <row r="20" spans="1:23" hidden="1">
      <c r="A20" t="s">
        <v>107</v>
      </c>
      <c r="B20" s="1">
        <f t="shared" ref="B20:B25" si="3">IF(B3="国保加入する",1,IF(B3="国保加入しない",2,0))</f>
        <v>1</v>
      </c>
      <c r="C20" s="136">
        <f>IF(C3="未就学児",1,IF(C3="小学生～39歳以下",1,IF(C3="40歳以上64歳以下",2,IF(C3="65歳以上74歳以下",3,IF(C3="75歳以上",4,0)))))</f>
        <v>2</v>
      </c>
      <c r="D20" s="39">
        <f>P40</f>
        <v>2020000</v>
      </c>
      <c r="E20" s="178">
        <f>IF((IF(D20&gt;=100000,100000,D20)+IF(F20&gt;=100000,100000,F20)-100000)&lt;0,0,IF(D20&gt;=100000,100000,D20)+IF(F20&gt;=100000,100000,F20)-100000)</f>
        <v>0</v>
      </c>
      <c r="F20" s="216">
        <f>IF(C20&lt;3,W49,IF(B37=1,W49,W56))</f>
        <v>0</v>
      </c>
      <c r="G20" s="178">
        <f>D20+H3+I20</f>
        <v>2020000</v>
      </c>
      <c r="H20" s="15"/>
      <c r="I20" s="197"/>
      <c r="J20" s="39">
        <f t="shared" ref="J20:J25" si="4">IF(H20="",D20,ROUNDDOWN(D20*0.3,0))</f>
        <v>2020000</v>
      </c>
      <c r="K20" s="39">
        <f>IF((IF(J20&gt;=100000,100000,J20)+IF(L20&gt;=100000,100000,L20)-100000)&lt;0,0,IF(J20&gt;=100000,100000,J20)+IF(L20&gt;=100000,100000,L20)-100000)</f>
        <v>0</v>
      </c>
      <c r="L20" s="218">
        <f>IF(C20&lt;3,P49,IF(B37=1,P49,P56))</f>
        <v>0</v>
      </c>
      <c r="M20" s="39">
        <f t="shared" ref="M20:M25" si="5">IF((IF(J20&gt;=100000,100000,J20)+IF(N20&gt;=100000,100000,N20)-100000)&lt;0,0,IF(J20&gt;=100000,100000,J20)+IF(N20&gt;=100000,100000,N20)-100000)</f>
        <v>0</v>
      </c>
      <c r="N20" s="11">
        <f t="shared" ref="N20:N25" si="6">IF(C20&lt;3,L20,IF(B37=1,L20,IF(L20&lt;150000,0,L20-150000)))</f>
        <v>0</v>
      </c>
      <c r="O20" s="39">
        <f t="shared" ref="O20:O25" si="7">J20+H3+I20</f>
        <v>2020000</v>
      </c>
      <c r="P20" s="39">
        <f t="shared" ref="P20:P25" si="8">J20-K20+L20+H3+I20</f>
        <v>2020000</v>
      </c>
      <c r="Q20" s="39">
        <f>IF(P20&lt;=K58,L58,IF(P20&lt;=K59,L59,IF(P20&lt;=K60,L60,L61)))</f>
        <v>430000</v>
      </c>
      <c r="R20" s="179">
        <f>MAX(J20-M20+N20+H3,0)</f>
        <v>2020000</v>
      </c>
      <c r="S20" s="179">
        <f t="shared" ref="S20:S25" si="9">MAX(J20-K20+L20+H3-Q20,0)</f>
        <v>1590000</v>
      </c>
      <c r="T20" s="179">
        <f>MAX(J20-K20+L20+H3,0)</f>
        <v>2020000</v>
      </c>
      <c r="U20" s="219">
        <f t="shared" ref="U20:U25" si="10">IF(D3&gt;550000,1,IF(AND(C20&gt;=3,B37="",F3&gt;1250000),1,IF(AND(C20&gt;=3,B37=1,F3&gt;600000),1,IF(AND(C20&lt;=2,F3&gt;600000),1,0))))</f>
        <v>1</v>
      </c>
      <c r="V20" s="219">
        <f t="shared" ref="V20:V25" si="11">IF(AND(B20=1,C20=1),3,IF(AND(B20=1,C20=2),4,IF(AND(B20=1,C20=3),5,IF(AND(B20=2,C20=1),1,IF(AND(B20=2,C20=2),1,IF(AND(B20=2,C20&gt;=3),2,0))))))</f>
        <v>4</v>
      </c>
    </row>
    <row r="21" spans="1:23" hidden="1">
      <c r="A21" t="s">
        <v>108</v>
      </c>
      <c r="B21" s="1">
        <f t="shared" si="3"/>
        <v>1</v>
      </c>
      <c r="C21" s="136">
        <f t="shared" ref="C21:C25" si="12">IF(C4="未就学児",1,IF(C4="小学生～39歳以下",1,IF(C4="40歳以上64歳以下",2,IF(C4="65歳以上74歳以下",3,IF(C4="75歳以上",4,0)))))</f>
        <v>2</v>
      </c>
      <c r="D21" s="39">
        <f>Q40</f>
        <v>0</v>
      </c>
      <c r="E21" s="178">
        <f t="shared" ref="E21:E24" si="13">IF((IF(D21&gt;=100000,100000,D21)+IF(F21&gt;=100000,100000,F21)-100000)&lt;0,0,IF(D21&gt;=100000,100000,D21)+IF(F21&gt;=100000,100000,F21)-100000)</f>
        <v>0</v>
      </c>
      <c r="F21" s="216">
        <f>IF(C21&lt;3,X49,IF(B38=1,X49,X56))</f>
        <v>0</v>
      </c>
      <c r="G21" s="178">
        <f t="shared" ref="G21:G25" si="14">D21+H4+I21</f>
        <v>0</v>
      </c>
      <c r="H21" s="15"/>
      <c r="I21" s="197"/>
      <c r="J21" s="39">
        <f t="shared" si="4"/>
        <v>0</v>
      </c>
      <c r="K21" s="39">
        <f t="shared" ref="K21:K25" si="15">IF((IF(J21&gt;=100000,100000,J21)+IF(L21&gt;=100000,100000,L21)-100000)&lt;0,0,IF(J21&gt;=100000,100000,J21)+IF(L21&gt;=100000,100000,L21)-100000)</f>
        <v>0</v>
      </c>
      <c r="L21" s="218">
        <f>IF(C21&lt;3,Q49,IF(B38=1,Q49,Q56))</f>
        <v>0</v>
      </c>
      <c r="M21" s="39">
        <f t="shared" si="5"/>
        <v>0</v>
      </c>
      <c r="N21" s="11">
        <f t="shared" si="6"/>
        <v>0</v>
      </c>
      <c r="O21" s="39">
        <f t="shared" si="7"/>
        <v>0</v>
      </c>
      <c r="P21" s="39">
        <f t="shared" si="8"/>
        <v>0</v>
      </c>
      <c r="Q21" s="39">
        <f>IF(P21&lt;=K58,L58,IF(P21&lt;=K59,L59,IF(P21&lt;=K60,L60,L61)))</f>
        <v>430000</v>
      </c>
      <c r="R21" s="179">
        <f>MAX(J21-K21+N21+H4,0)</f>
        <v>0</v>
      </c>
      <c r="S21" s="179">
        <f t="shared" si="9"/>
        <v>0</v>
      </c>
      <c r="T21" s="179">
        <f>MAX(J21-K21+L21+H4,0)</f>
        <v>0</v>
      </c>
      <c r="U21" s="219">
        <f t="shared" si="10"/>
        <v>0</v>
      </c>
      <c r="V21" s="219">
        <f t="shared" si="11"/>
        <v>4</v>
      </c>
    </row>
    <row r="22" spans="1:23" hidden="1">
      <c r="A22" t="s">
        <v>109</v>
      </c>
      <c r="B22" s="1">
        <f t="shared" si="3"/>
        <v>1</v>
      </c>
      <c r="C22" s="136">
        <f t="shared" si="12"/>
        <v>1</v>
      </c>
      <c r="D22" s="39">
        <f>R40</f>
        <v>0</v>
      </c>
      <c r="E22" s="178">
        <f t="shared" si="13"/>
        <v>0</v>
      </c>
      <c r="F22" s="216">
        <f>IF(C22&lt;3,Y49,IF(B39=1,Y49,Y56))</f>
        <v>0</v>
      </c>
      <c r="G22" s="178">
        <f t="shared" si="14"/>
        <v>0</v>
      </c>
      <c r="H22" s="15"/>
      <c r="I22" s="197"/>
      <c r="J22" s="39">
        <f t="shared" si="4"/>
        <v>0</v>
      </c>
      <c r="K22" s="39">
        <f t="shared" si="15"/>
        <v>0</v>
      </c>
      <c r="L22" s="218">
        <f>IF(C22&lt;3,R49,IF(B39=1,R49,R56))</f>
        <v>0</v>
      </c>
      <c r="M22" s="39">
        <f t="shared" si="5"/>
        <v>0</v>
      </c>
      <c r="N22" s="11">
        <f t="shared" si="6"/>
        <v>0</v>
      </c>
      <c r="O22" s="39">
        <f t="shared" si="7"/>
        <v>0</v>
      </c>
      <c r="P22" s="39">
        <f t="shared" si="8"/>
        <v>0</v>
      </c>
      <c r="Q22" s="39">
        <f>IF(P22&lt;=K58,L58,IF(P22&lt;=K59,L59,IF(P22&lt;=K60,L60,L61)))</f>
        <v>430000</v>
      </c>
      <c r="R22" s="179">
        <f>MAX(J22-K22+N22+H5,0)</f>
        <v>0</v>
      </c>
      <c r="S22" s="179">
        <f t="shared" si="9"/>
        <v>0</v>
      </c>
      <c r="T22" s="179">
        <f t="shared" ref="T22:T25" si="16">MAX(J22-K22+L22+H5,0)</f>
        <v>0</v>
      </c>
      <c r="U22" s="219">
        <f t="shared" si="10"/>
        <v>0</v>
      </c>
      <c r="V22" s="219">
        <f t="shared" si="11"/>
        <v>3</v>
      </c>
    </row>
    <row r="23" spans="1:23" hidden="1">
      <c r="A23" t="s">
        <v>110</v>
      </c>
      <c r="B23" s="1">
        <f t="shared" si="3"/>
        <v>0</v>
      </c>
      <c r="C23" s="136">
        <f t="shared" si="12"/>
        <v>0</v>
      </c>
      <c r="D23" s="39">
        <f>S40</f>
        <v>0</v>
      </c>
      <c r="E23" s="178">
        <f t="shared" si="13"/>
        <v>0</v>
      </c>
      <c r="F23" s="216">
        <f>IF(C23&lt;3,Z49,IF(B40=1,Z49,Z56))</f>
        <v>0</v>
      </c>
      <c r="G23" s="178">
        <f t="shared" si="14"/>
        <v>0</v>
      </c>
      <c r="H23" s="15"/>
      <c r="I23" s="197"/>
      <c r="J23" s="39">
        <f t="shared" si="4"/>
        <v>0</v>
      </c>
      <c r="K23" s="39">
        <f t="shared" si="15"/>
        <v>0</v>
      </c>
      <c r="L23" s="218">
        <f>IF(C23&lt;3,S49,IF(B40=1,S49,S56))</f>
        <v>0</v>
      </c>
      <c r="M23" s="39">
        <f t="shared" si="5"/>
        <v>0</v>
      </c>
      <c r="N23" s="11">
        <f t="shared" si="6"/>
        <v>0</v>
      </c>
      <c r="O23" s="39">
        <f t="shared" si="7"/>
        <v>0</v>
      </c>
      <c r="P23" s="39">
        <f t="shared" si="8"/>
        <v>0</v>
      </c>
      <c r="Q23" s="39">
        <f>IF(P23&lt;=K58,L58,IF(P23&lt;=K59,L59,IF(P23&lt;=K60,L60,L61)))</f>
        <v>430000</v>
      </c>
      <c r="R23" s="179">
        <f>MAX(J23-K23+N23+H6,0)</f>
        <v>0</v>
      </c>
      <c r="S23" s="179">
        <f t="shared" si="9"/>
        <v>0</v>
      </c>
      <c r="T23" s="179">
        <f>MAX(J23-K23+L23+H6,0)</f>
        <v>0</v>
      </c>
      <c r="U23" s="219">
        <f t="shared" si="10"/>
        <v>0</v>
      </c>
      <c r="V23" s="219">
        <f t="shared" si="11"/>
        <v>0</v>
      </c>
    </row>
    <row r="24" spans="1:23" hidden="1">
      <c r="A24" t="s">
        <v>111</v>
      </c>
      <c r="B24" s="1">
        <f t="shared" si="3"/>
        <v>0</v>
      </c>
      <c r="C24" s="136">
        <f t="shared" si="12"/>
        <v>0</v>
      </c>
      <c r="D24" s="39">
        <f>T40</f>
        <v>0</v>
      </c>
      <c r="E24" s="178">
        <f t="shared" si="13"/>
        <v>0</v>
      </c>
      <c r="F24" s="216">
        <f>IF(C24&lt;3,AA49,IF(B41=1,AA49,AA56))</f>
        <v>0</v>
      </c>
      <c r="G24" s="178">
        <f t="shared" si="14"/>
        <v>0</v>
      </c>
      <c r="H24" s="15"/>
      <c r="I24" s="197"/>
      <c r="J24" s="39">
        <f t="shared" si="4"/>
        <v>0</v>
      </c>
      <c r="K24" s="39">
        <f t="shared" si="15"/>
        <v>0</v>
      </c>
      <c r="L24" s="218">
        <f>IF(C24&lt;3,T49,IF(B41=1,T49,T56))</f>
        <v>0</v>
      </c>
      <c r="M24" s="39">
        <f t="shared" si="5"/>
        <v>0</v>
      </c>
      <c r="N24" s="11">
        <f t="shared" si="6"/>
        <v>0</v>
      </c>
      <c r="O24" s="39">
        <f t="shared" si="7"/>
        <v>0</v>
      </c>
      <c r="P24" s="39">
        <f t="shared" si="8"/>
        <v>0</v>
      </c>
      <c r="Q24" s="39">
        <f>IF(P24&lt;=K58,L58,IF(P24&lt;=K59,L59,IF(P24&lt;=K60,L60,L61)))</f>
        <v>430000</v>
      </c>
      <c r="R24" s="179">
        <f>MAX(J24-K24+N24+H7,0)</f>
        <v>0</v>
      </c>
      <c r="S24" s="179">
        <f t="shared" si="9"/>
        <v>0</v>
      </c>
      <c r="T24" s="179">
        <f t="shared" si="16"/>
        <v>0</v>
      </c>
      <c r="U24" s="219">
        <f t="shared" si="10"/>
        <v>0</v>
      </c>
      <c r="V24" s="219">
        <f t="shared" si="11"/>
        <v>0</v>
      </c>
    </row>
    <row r="25" spans="1:23" hidden="1">
      <c r="A25" t="s">
        <v>112</v>
      </c>
      <c r="B25" s="1">
        <f t="shared" si="3"/>
        <v>0</v>
      </c>
      <c r="C25" s="136">
        <f t="shared" si="12"/>
        <v>0</v>
      </c>
      <c r="D25" s="39">
        <f>U40</f>
        <v>0</v>
      </c>
      <c r="E25" s="178">
        <f>IF((IF(D25&gt;=100000,100000,D25)+IF(F25&gt;=100000,100000,F25)-100000)&lt;0,0,IF(D25&gt;=100000,100000,D25)+IF(F25&gt;=100000,100000,F25)-100000)</f>
        <v>0</v>
      </c>
      <c r="F25" s="216">
        <f>IF(C25&lt;3,AB49,IF(B42=1,AB49,AB56))</f>
        <v>0</v>
      </c>
      <c r="G25" s="178">
        <f t="shared" si="14"/>
        <v>0</v>
      </c>
      <c r="H25" s="15"/>
      <c r="I25" s="197"/>
      <c r="J25" s="39">
        <f t="shared" si="4"/>
        <v>0</v>
      </c>
      <c r="K25" s="39">
        <f t="shared" si="15"/>
        <v>0</v>
      </c>
      <c r="L25" s="218">
        <f>IF(C25&lt;3,U49,IF(B42=1,U49,U56))</f>
        <v>0</v>
      </c>
      <c r="M25" s="39">
        <f t="shared" si="5"/>
        <v>0</v>
      </c>
      <c r="N25" s="11">
        <f t="shared" si="6"/>
        <v>0</v>
      </c>
      <c r="O25" s="39">
        <f t="shared" si="7"/>
        <v>0</v>
      </c>
      <c r="P25" s="39">
        <f t="shared" si="8"/>
        <v>0</v>
      </c>
      <c r="Q25" s="39">
        <f>IF(P25&lt;=K58,L58,IF(P25&lt;=K59,L59,IF(P25&lt;=K60,L60,L61)))</f>
        <v>430000</v>
      </c>
      <c r="R25" s="179">
        <f>MAX(J25-K25+N25+H8,0)</f>
        <v>0</v>
      </c>
      <c r="S25" s="179">
        <f t="shared" si="9"/>
        <v>0</v>
      </c>
      <c r="T25" s="179">
        <f t="shared" si="16"/>
        <v>0</v>
      </c>
      <c r="U25" s="219">
        <f t="shared" si="10"/>
        <v>0</v>
      </c>
      <c r="V25" s="219">
        <f t="shared" si="11"/>
        <v>0</v>
      </c>
    </row>
    <row r="26" spans="1:23" hidden="1"/>
    <row r="27" spans="1:23" hidden="1">
      <c r="A27" s="222" t="s">
        <v>217</v>
      </c>
      <c r="B27" s="73"/>
      <c r="C27" s="215"/>
      <c r="E27" t="s">
        <v>123</v>
      </c>
      <c r="F27" t="s">
        <v>175</v>
      </c>
      <c r="K27" t="s">
        <v>137</v>
      </c>
      <c r="P27" s="170" t="s">
        <v>190</v>
      </c>
      <c r="Q27" s="170" t="s">
        <v>191</v>
      </c>
      <c r="R27" s="170" t="s">
        <v>192</v>
      </c>
      <c r="S27" s="170" t="s">
        <v>193</v>
      </c>
      <c r="T27" s="170" t="s">
        <v>194</v>
      </c>
      <c r="U27" s="170" t="s">
        <v>195</v>
      </c>
    </row>
    <row r="28" spans="1:23" hidden="1">
      <c r="A28" s="209" t="s">
        <v>212</v>
      </c>
      <c r="B28" s="294"/>
      <c r="C28" s="294" t="s">
        <v>211</v>
      </c>
      <c r="D28" s="138" t="s">
        <v>117</v>
      </c>
      <c r="E28" s="137">
        <v>1</v>
      </c>
      <c r="F28" s="65" t="str">
        <f>IF(V20=3,T20,"")</f>
        <v/>
      </c>
      <c r="G28" s="65">
        <f>IF(V20=4,T20,"")</f>
        <v>2020000</v>
      </c>
      <c r="H28" s="65" t="str">
        <f>IF(V20=5,T20,"")</f>
        <v/>
      </c>
      <c r="I28" s="65">
        <f>IF(V20=5,L20,0)</f>
        <v>0</v>
      </c>
      <c r="M28" t="s">
        <v>142</v>
      </c>
    </row>
    <row r="29" spans="1:23" hidden="1">
      <c r="A29" s="210" t="s">
        <v>215</v>
      </c>
      <c r="B29" s="294" t="s">
        <v>104</v>
      </c>
      <c r="C29" s="294" t="s">
        <v>210</v>
      </c>
      <c r="D29" s="138" t="s">
        <v>118</v>
      </c>
      <c r="E29" s="137">
        <v>2</v>
      </c>
      <c r="F29" s="65" t="str">
        <f t="shared" ref="F29:F32" si="17">IF(V21=3,T21,"")</f>
        <v/>
      </c>
      <c r="G29" s="65">
        <f t="shared" ref="G29:G32" si="18">IF(V21=4,T21,"")</f>
        <v>0</v>
      </c>
      <c r="H29" s="65" t="str">
        <f t="shared" ref="H29:H32" si="19">IF(V21=5,T21,"")</f>
        <v/>
      </c>
      <c r="I29" s="65">
        <f t="shared" ref="I29:I32" si="20">IF(V21=5,L21,0)</f>
        <v>0</v>
      </c>
      <c r="K29">
        <v>550999</v>
      </c>
      <c r="L29" s="174"/>
      <c r="M29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</row>
    <row r="30" spans="1:23" hidden="1">
      <c r="A30" s="13" t="s">
        <v>216</v>
      </c>
      <c r="B30" s="136" t="s">
        <v>113</v>
      </c>
      <c r="C30" s="136" t="s">
        <v>114</v>
      </c>
      <c r="D30" s="138" t="s">
        <v>119</v>
      </c>
      <c r="E30" s="137">
        <v>3</v>
      </c>
      <c r="F30" s="65">
        <f t="shared" si="17"/>
        <v>0</v>
      </c>
      <c r="G30" s="65" t="str">
        <f t="shared" si="18"/>
        <v/>
      </c>
      <c r="H30" s="65" t="str">
        <f t="shared" si="19"/>
        <v/>
      </c>
      <c r="I30" s="65">
        <f t="shared" si="20"/>
        <v>0</v>
      </c>
      <c r="K30">
        <v>1618999</v>
      </c>
      <c r="M30" s="174" t="s">
        <v>141</v>
      </c>
      <c r="P30" s="172">
        <f>IF(AND(D3&gt;K29,D3&lt;=K30),D3-550000,0)</f>
        <v>0</v>
      </c>
      <c r="Q30" s="172">
        <f>IF(AND(D4&gt;K29,D4&lt;=K30),D4-550000,0)</f>
        <v>0</v>
      </c>
      <c r="R30" s="172">
        <f>IF(AND(D5&gt;K29,D5&lt;=K30),D5-550000,0)</f>
        <v>0</v>
      </c>
      <c r="S30" s="172">
        <f>IF(AND(D6&gt;K29,D6&lt;=K30),D6-550000,0)</f>
        <v>0</v>
      </c>
      <c r="T30" s="172">
        <f>IF(AND(D7&gt;K29,D7&lt;=K30),D7-550000,0)</f>
        <v>0</v>
      </c>
      <c r="U30" s="172">
        <f>IF(AND(D8&gt;K29,D8&lt;=K30),D8-550000,0)</f>
        <v>0</v>
      </c>
    </row>
    <row r="31" spans="1:23" hidden="1">
      <c r="A31" s="223" t="s">
        <v>218</v>
      </c>
      <c r="C31" s="136" t="s">
        <v>115</v>
      </c>
      <c r="D31" s="138" t="s">
        <v>120</v>
      </c>
      <c r="E31" s="137">
        <v>4</v>
      </c>
      <c r="F31" s="65" t="str">
        <f t="shared" si="17"/>
        <v/>
      </c>
      <c r="G31" s="65" t="str">
        <f t="shared" si="18"/>
        <v/>
      </c>
      <c r="H31" s="65" t="str">
        <f t="shared" si="19"/>
        <v/>
      </c>
      <c r="I31" s="65">
        <f t="shared" si="20"/>
        <v>0</v>
      </c>
      <c r="K31">
        <v>1619999</v>
      </c>
      <c r="L31" s="174"/>
      <c r="M31">
        <v>1069000</v>
      </c>
      <c r="P31" s="172">
        <f>IF(AND(D3&gt;K30,D3&lt;=K31),M31,0)</f>
        <v>0</v>
      </c>
      <c r="Q31" s="172">
        <f>IF(AND(D4&gt;K30,D4&lt;=K31),M31,0)</f>
        <v>0</v>
      </c>
      <c r="R31" s="172">
        <f>IF(AND(D5&gt;K30,D5&lt;=K31),M31,0)</f>
        <v>0</v>
      </c>
      <c r="S31" s="172">
        <f>IF(AND(D6&gt;K30,D6&lt;=K31),M31,0)</f>
        <v>0</v>
      </c>
      <c r="T31" s="172">
        <f>IF(AND(D7&gt;K30,D7&lt;=K31),M31,0)</f>
        <v>0</v>
      </c>
      <c r="U31" s="172">
        <f>IF(AND(D8&gt;K30,D8&lt;=K31),M31,0)</f>
        <v>0</v>
      </c>
    </row>
    <row r="32" spans="1:23" hidden="1">
      <c r="A32" s="223" t="s">
        <v>219</v>
      </c>
      <c r="C32" s="136" t="s">
        <v>116</v>
      </c>
      <c r="D32" s="138" t="s">
        <v>121</v>
      </c>
      <c r="E32" s="137">
        <v>5</v>
      </c>
      <c r="F32" s="65" t="str">
        <f t="shared" si="17"/>
        <v/>
      </c>
      <c r="G32" s="65" t="str">
        <f t="shared" si="18"/>
        <v/>
      </c>
      <c r="H32" s="65" t="str">
        <f t="shared" si="19"/>
        <v/>
      </c>
      <c r="I32" s="65">
        <f t="shared" si="20"/>
        <v>0</v>
      </c>
      <c r="K32">
        <v>1621999</v>
      </c>
      <c r="L32" s="174"/>
      <c r="M32">
        <v>1070000</v>
      </c>
      <c r="P32" s="172">
        <f>IF(AND(D3&gt;K31,D3&lt;=K32),M32,0)</f>
        <v>0</v>
      </c>
      <c r="Q32" s="172">
        <f>IF(AND(D4&gt;K31,D4&lt;=K32),M32,0)</f>
        <v>0</v>
      </c>
      <c r="R32" s="172">
        <f>IF(AND(D5&gt;K31,D5&lt;=K32),M32,0)</f>
        <v>0</v>
      </c>
      <c r="S32" s="172">
        <f>IF(AND(D6&gt;K31,D6&lt;=K32),M32,0)</f>
        <v>0</v>
      </c>
      <c r="T32" s="172">
        <f>IF(AND(D7&gt;K31,D7&lt;=K32),M32,0)</f>
        <v>0</v>
      </c>
      <c r="U32" s="172">
        <f>IF(AND(D8&gt;K31,D8&lt;=K32),M32,0)</f>
        <v>0</v>
      </c>
    </row>
    <row r="33" spans="1:28" hidden="1">
      <c r="A33" s="13" t="s">
        <v>214</v>
      </c>
      <c r="B33" s="3" t="s">
        <v>207</v>
      </c>
      <c r="C33" s="3" t="s">
        <v>208</v>
      </c>
      <c r="D33" s="3" t="s">
        <v>209</v>
      </c>
      <c r="E33" s="13" t="s">
        <v>128</v>
      </c>
      <c r="F33" s="65">
        <f>IF(OR(V20=1,V20=2),T20,0)</f>
        <v>0</v>
      </c>
      <c r="K33">
        <v>1623999</v>
      </c>
      <c r="L33" s="174"/>
      <c r="M33">
        <v>1072000</v>
      </c>
      <c r="P33" s="172">
        <f>IF(AND(D3&gt;K32,D3&lt;=K33),M33,0)</f>
        <v>0</v>
      </c>
      <c r="Q33" s="172">
        <f>IF(AND(D4&gt;K32,D4&lt;=K33),M33,0)</f>
        <v>0</v>
      </c>
      <c r="R33" s="172">
        <f>IF(AND(D5&gt;K32,D5&lt;=K33),M33,0)</f>
        <v>0</v>
      </c>
      <c r="S33" s="172">
        <f>IF(AND(D6&gt;K32,D6&lt;=K33),M33,0)</f>
        <v>0</v>
      </c>
      <c r="T33" s="172">
        <f>IF(AND(D7&gt;K32,D7&lt;=K33),M33,0)</f>
        <v>0</v>
      </c>
      <c r="U33" s="172">
        <f>IF(AND(D8&gt;K32,D8&lt;=K33),M33,0)</f>
        <v>0</v>
      </c>
    </row>
    <row r="34" spans="1:28" hidden="1">
      <c r="F34" s="65">
        <f>IF(V20=2,L20,0)</f>
        <v>0</v>
      </c>
      <c r="K34">
        <v>1627999</v>
      </c>
      <c r="L34" s="174"/>
      <c r="M34">
        <v>1074000</v>
      </c>
      <c r="P34" s="172">
        <f>IF(AND(D3&gt;K33,D3&lt;=K34),M34,0)</f>
        <v>0</v>
      </c>
      <c r="Q34" s="172">
        <f>IF(AND(D4&gt;K33,D4&lt;=K34),M34,0)</f>
        <v>0</v>
      </c>
      <c r="R34" s="172">
        <f>IF(AND(D5&gt;K33,D5&lt;=K34),M34,0)</f>
        <v>0</v>
      </c>
      <c r="S34" s="172">
        <f>IF(AND(D6&gt;K33,D6&lt;=K34),M34,0)</f>
        <v>0</v>
      </c>
      <c r="T34" s="172">
        <f>IF(AND(D7&gt;K33,D7&lt;=K34),M34,0)</f>
        <v>0</v>
      </c>
      <c r="U34" s="172">
        <f>IF(AND(D8&gt;K33,D8&lt;=K34),M34,0)</f>
        <v>0</v>
      </c>
    </row>
    <row r="35" spans="1:28" hidden="1">
      <c r="A35" s="198"/>
      <c r="B35" s="198" t="s">
        <v>196</v>
      </c>
      <c r="K35">
        <v>1799999</v>
      </c>
      <c r="M35" s="174" t="s">
        <v>143</v>
      </c>
      <c r="P35" s="172">
        <f>IF(AND(D3&gt;K34,D3&lt;=K35),ROUNDDOWN(D3/4,-3)*2.4+100000,0)</f>
        <v>0</v>
      </c>
      <c r="Q35" s="172">
        <f>IF(AND(D4&gt;K34,D4&lt;=K35),ROUNDDOWN(D4/4,-3)*2.4+100000,0)</f>
        <v>0</v>
      </c>
      <c r="R35" s="172">
        <f>IF(AND(D5&gt;K34,D5&lt;=K35),ROUNDDOWN(D5/4,-3)*2.4+100000,0)</f>
        <v>0</v>
      </c>
      <c r="S35" s="172">
        <f>IF(AND(D6&gt;K34,D6&lt;=K35),ROUNDDOWN(D6/4,-3)*2.4+100000,0)</f>
        <v>0</v>
      </c>
      <c r="T35" s="172">
        <f>IF(AND(D7&gt;K34,D7&lt;=K35),ROUNDDOWN(D7/4,-3)*2.4+100000,0)</f>
        <v>0</v>
      </c>
      <c r="U35" s="172">
        <f>IF(AND(D8&gt;K34,D8&lt;=K35),ROUNDDOWN(D8/4,-3)*2.4+100000,0)</f>
        <v>0</v>
      </c>
    </row>
    <row r="36" spans="1:28" hidden="1">
      <c r="A36" s="131"/>
      <c r="B36" s="131" t="s">
        <v>197</v>
      </c>
      <c r="F36" t="s">
        <v>129</v>
      </c>
      <c r="K36">
        <v>3599999</v>
      </c>
      <c r="M36" s="174" t="s">
        <v>144</v>
      </c>
      <c r="P36" s="172">
        <f>IF(AND(D3&gt;K35,D3&lt;=K36),ROUNDDOWN(D3/4,-3)*2.8-80000,0)</f>
        <v>2020000</v>
      </c>
      <c r="Q36" s="172">
        <f>IF(AND(D4&gt;K35,D4&lt;=K36),ROUNDDOWN(D4/4,-3)*2.8-80000,0)</f>
        <v>0</v>
      </c>
      <c r="R36" s="172">
        <f>IF(AND(D5&gt;K35,D5&lt;=K36),ROUNDDOWN(D5/4,-3)*2.8-80000,0)</f>
        <v>0</v>
      </c>
      <c r="S36" s="172">
        <f>IF(AND(D6&gt;K35,D6&lt;=K36),ROUNDDOWN(D6/4,-3)*2.8-80000,0)</f>
        <v>0</v>
      </c>
      <c r="T36" s="172">
        <f>IF(AND(D7&gt;K35,D7&lt;=K36),ROUNDDOWN(D7/4,-3)*2.8-80000,0)</f>
        <v>0</v>
      </c>
      <c r="U36" s="172">
        <f>IF(AND(D8&gt;K35,D8&lt;=K36),ROUNDDOWN(D8/4,-3)*2.8-80000,0)</f>
        <v>0</v>
      </c>
    </row>
    <row r="37" spans="1:28" hidden="1">
      <c r="A37" s="198" t="s">
        <v>107</v>
      </c>
      <c r="B37" s="57"/>
      <c r="C37" s="217" t="str">
        <f>IF(AND(B37=1,C20&lt;3),"エラー(65歳以上時のみ有効)","")</f>
        <v/>
      </c>
      <c r="F37" s="65">
        <f>IF(V20=3,S20,0)</f>
        <v>0</v>
      </c>
      <c r="G37" s="65">
        <f>IF(V20=4,S20,0)</f>
        <v>1590000</v>
      </c>
      <c r="H37" s="65">
        <f>IF(V20=5,S20,0)</f>
        <v>0</v>
      </c>
      <c r="K37">
        <v>6599999</v>
      </c>
      <c r="M37" s="174" t="s">
        <v>145</v>
      </c>
      <c r="P37" s="172">
        <f>IF(AND(D3&gt;K36,D3&lt;=K37),ROUNDDOWN(D3/4,-3)*3.2-440000,0)</f>
        <v>0</v>
      </c>
      <c r="Q37" s="172">
        <f>IF(AND(D4&gt;K36,D4&lt;=K37),ROUNDDOWN(D4/4,-3)*3.2-440000,0)</f>
        <v>0</v>
      </c>
      <c r="R37" s="172">
        <f>IF(AND(D5&gt;K36,D5&lt;=K37),ROUNDDOWN(D5/4,-3)*3.2-440000,0)</f>
        <v>0</v>
      </c>
      <c r="S37" s="172">
        <f>IF(AND(D6&gt;K36,D6&lt;=K37),ROUNDDOWN(D6/4,-3)*3.2-440000,0)</f>
        <v>0</v>
      </c>
      <c r="T37" s="172">
        <f>IF(AND(D7&gt;K36,D7&lt;=K37),ROUNDDOWN(D7/4,-3)*3.2-440000,0)</f>
        <v>0</v>
      </c>
      <c r="U37" s="172">
        <f>IF(AND(D8&gt;K36,D8&lt;=K37),ROUNDDOWN(D8/4,-3)*3.2-440000,0)</f>
        <v>0</v>
      </c>
    </row>
    <row r="38" spans="1:28" hidden="1">
      <c r="A38" s="131" t="s">
        <v>108</v>
      </c>
      <c r="B38" s="57"/>
      <c r="C38" s="217" t="str">
        <f t="shared" ref="C38:C42" si="21">IF(AND(B38=1,C21&lt;3),"エラー(65歳以上時のみ有効)","")</f>
        <v/>
      </c>
      <c r="F38" s="65">
        <f>IF(V21=3,S21,0)</f>
        <v>0</v>
      </c>
      <c r="G38" s="65">
        <f>IF(V21=4,S21,0)</f>
        <v>0</v>
      </c>
      <c r="H38" s="65">
        <f>IF(V21=5,S21,0)</f>
        <v>0</v>
      </c>
      <c r="K38">
        <v>8499999</v>
      </c>
      <c r="M38" s="174" t="s">
        <v>146</v>
      </c>
      <c r="P38" s="172">
        <f>IF(AND(D3&gt;K37,D3&lt;=K38),ROUNDDOWN(D3*0.9,0)-1100000,0)</f>
        <v>0</v>
      </c>
      <c r="Q38" s="172">
        <f>IF(AND(D4&gt;K37,D4&lt;=K38),ROUNDDOWN(D4*0.9,0)-1100000,0)</f>
        <v>0</v>
      </c>
      <c r="R38" s="172">
        <f>IF(AND(D5&gt;K37,D5&lt;=K38),ROUNDDOWN(D5*0.9,0)-1100000,0)</f>
        <v>0</v>
      </c>
      <c r="S38" s="172">
        <f>IF(AND(D6&gt;K37,D6&lt;=K38),ROUNDDOWN(D6*0.9,0)-1100000,0)</f>
        <v>0</v>
      </c>
      <c r="T38" s="172">
        <f>IF(AND(D7&gt;K37,D7&lt;=K38),ROUNDDOWN(D7*0.9,0)-1100000,0)</f>
        <v>0</v>
      </c>
      <c r="U38" s="172">
        <f>IF(AND(D8&gt;K37,D8&lt;=K38),ROUNDDOWN(D8*0.9,0)-1100000,0)</f>
        <v>0</v>
      </c>
    </row>
    <row r="39" spans="1:28" hidden="1">
      <c r="A39" s="131" t="s">
        <v>109</v>
      </c>
      <c r="B39" s="57"/>
      <c r="C39" s="217" t="str">
        <f t="shared" si="21"/>
        <v/>
      </c>
      <c r="F39" s="65">
        <f>IF(V22=3,S22,0)</f>
        <v>0</v>
      </c>
      <c r="G39" s="65">
        <f>IF(V22=4,S22,0)</f>
        <v>0</v>
      </c>
      <c r="H39" s="65">
        <f>IF(V22=5,S22,0)</f>
        <v>0</v>
      </c>
      <c r="K39">
        <v>8500000</v>
      </c>
      <c r="M39" s="174" t="s">
        <v>147</v>
      </c>
      <c r="P39" s="173">
        <f>IF(D3&gt;K38,D3-1950000,0)</f>
        <v>0</v>
      </c>
      <c r="Q39" s="173">
        <f>IF(D4&gt;K38,D4-1950000,0)</f>
        <v>0</v>
      </c>
      <c r="R39" s="173">
        <f>IF(D5&gt;K38,D5-1950000,0)</f>
        <v>0</v>
      </c>
      <c r="S39" s="173">
        <f>IF(D6&gt;K38,D6-1950000,0)</f>
        <v>0</v>
      </c>
      <c r="T39" s="173">
        <f>IF(D7&gt;K38,D7-1950000,0)</f>
        <v>0</v>
      </c>
      <c r="U39" s="173">
        <f>IF(D8&gt;K38,D8-1950000,0)</f>
        <v>0</v>
      </c>
    </row>
    <row r="40" spans="1:28" hidden="1">
      <c r="A40" s="131" t="s">
        <v>110</v>
      </c>
      <c r="B40" s="57"/>
      <c r="C40" s="217" t="str">
        <f t="shared" si="21"/>
        <v/>
      </c>
      <c r="F40" s="65">
        <f>IF(V23=3,S23,0)</f>
        <v>0</v>
      </c>
      <c r="G40" s="65">
        <f>IF(V23=4,S23,0)</f>
        <v>0</v>
      </c>
      <c r="H40" s="65">
        <f>IF(V23=5,S23,0)</f>
        <v>0</v>
      </c>
      <c r="P40">
        <f>SUM(P29:P39)</f>
        <v>2020000</v>
      </c>
      <c r="Q40">
        <f t="shared" ref="Q40:U40" si="22">SUM(Q29:Q39)</f>
        <v>0</v>
      </c>
      <c r="R40">
        <f t="shared" si="22"/>
        <v>0</v>
      </c>
      <c r="S40">
        <f t="shared" si="22"/>
        <v>0</v>
      </c>
      <c r="T40">
        <f t="shared" si="22"/>
        <v>0</v>
      </c>
      <c r="U40">
        <f t="shared" si="22"/>
        <v>0</v>
      </c>
    </row>
    <row r="41" spans="1:28" hidden="1">
      <c r="A41" s="131" t="s">
        <v>111</v>
      </c>
      <c r="B41" s="57"/>
      <c r="C41" s="217" t="str">
        <f t="shared" si="21"/>
        <v/>
      </c>
      <c r="F41" s="65">
        <f>IF(V24=3,S24,0)</f>
        <v>0</v>
      </c>
      <c r="G41" s="65">
        <f>IF(V24=4,S24,0)</f>
        <v>0</v>
      </c>
      <c r="H41" s="65">
        <f>IF(V24=5,S24,0)</f>
        <v>0</v>
      </c>
    </row>
    <row r="42" spans="1:28" hidden="1">
      <c r="A42" s="131" t="s">
        <v>112</v>
      </c>
      <c r="B42" s="57"/>
      <c r="C42" s="217" t="str">
        <f t="shared" si="21"/>
        <v/>
      </c>
      <c r="P42" t="s">
        <v>160</v>
      </c>
      <c r="W42" t="s">
        <v>161</v>
      </c>
    </row>
    <row r="43" spans="1:28" hidden="1">
      <c r="F43" s="198" t="s">
        <v>170</v>
      </c>
      <c r="K43" t="s">
        <v>138</v>
      </c>
      <c r="M43">
        <v>10000000</v>
      </c>
      <c r="N43">
        <v>20000000</v>
      </c>
      <c r="O43">
        <v>20000001</v>
      </c>
    </row>
    <row r="44" spans="1:28" hidden="1">
      <c r="F44" s="65">
        <f>SUM(R20:R25)</f>
        <v>2020000</v>
      </c>
      <c r="K44">
        <v>1299999</v>
      </c>
      <c r="L44">
        <v>1</v>
      </c>
      <c r="M44">
        <v>600000</v>
      </c>
      <c r="N44">
        <v>500000</v>
      </c>
      <c r="O44">
        <v>400000</v>
      </c>
      <c r="P44" s="171">
        <f>INT(IF(AND(F3&lt;=K44,O20&lt;=M43),F3*L44-M44,IF(AND(F3&lt;=K44,O20&lt;=N43),F3*L44-N44,IF(AND(F3&lt;=K44,O20&gt;=O43),F3*L44-O44,0))))</f>
        <v>-600000</v>
      </c>
      <c r="Q44" s="171">
        <f>INT(IF(AND(F4&lt;=K44,O21&lt;=M43),F4*L44-M44,IF(AND(F4&lt;=K44,O21&lt;=N43),F4*L44-N44,IF(AND(F4&lt;=K44,O21&gt;=O43),F4*L44-O44,0))))</f>
        <v>-600000</v>
      </c>
      <c r="R44" s="171">
        <f>INT(IF(AND(F5&lt;=K44,O22&lt;=M43),F5*L44-M44,IF(AND(F5&lt;=K44,O22&lt;=N43),F5*L44-N44,IF(AND(F5&lt;=K44,O22&gt;=O43),F5*L44-O44,0))))</f>
        <v>-600000</v>
      </c>
      <c r="S44" s="171">
        <f>INT(IF(AND(F6&lt;=K44,O23&lt;=M43),F6*L44-M44,IF(AND(F6&lt;=K44,O23&lt;=N43),F6*L44-N44,IF(AND(F6&lt;=K44,O23&gt;=O43),F6*L44-O44,0))))</f>
        <v>-600000</v>
      </c>
      <c r="T44" s="171">
        <f>INT(IF(AND(F7&lt;=K44,O24&lt;=M43),F7*L44-M44,IF(AND(F7&lt;=K44,O24&lt;=N43),F7*L44-N44,IF(AND(F7&lt;=K44,O24&gt;=O43),F7*L44-O44,0))))</f>
        <v>-600000</v>
      </c>
      <c r="U44" s="171">
        <f>INT(IF(AND(F8&lt;=K44,O25&lt;=M43),F8*L44-M44,IF(AND(F8&lt;=K44,O25&lt;=N43),F8*L44-N44,IF(AND(F8&lt;=K44,O25&gt;=O43),F8*L44-O44,0))))</f>
        <v>-600000</v>
      </c>
      <c r="W44" s="171">
        <f>INT(IF(AND(F3&lt;=K44,G20&lt;=M43),F3*L44-M44,IF(AND(F3&lt;=K44,G20&lt;=N43),F3*L44-N44,IF(AND(F3&lt;=K44,G20&gt;=O43),F3*L44-O44,0))))</f>
        <v>-600000</v>
      </c>
      <c r="X44" s="171">
        <f>INT(IF(AND(F4&lt;=K44,G21&lt;=M43),F4*L44-M44,IF(AND(F4&lt;=K44,G21&lt;=N43),F4*L44-N44,IF(AND(F4&lt;=K44,G21&gt;=O43),F4*L44-O44,0))))</f>
        <v>-600000</v>
      </c>
      <c r="Y44" s="171">
        <f>INT(IF(AND(F5&lt;=K44,G22&lt;=M43),F5*L44-M44,IF(AND(F5&lt;=K44,G22&lt;=N43),F5*L44-N44,IF(AND(F5&lt;=K44,G22&gt;=O43),F5*L44-O44,0))))</f>
        <v>-600000</v>
      </c>
      <c r="Z44" s="171">
        <f>INT(IF(AND(F6&lt;=K44,G23&lt;=M43),F6*L44-M44,IF(AND(F6&lt;=K44,G23&lt;=N43),F6*L44-N44,IF(AND(F6&lt;=K44,G23&gt;=O43),F6*L44-O44,0))))</f>
        <v>-600000</v>
      </c>
      <c r="AA44" s="171">
        <f>INT(IF(AND(F7&lt;=K44,G24&lt;=M43),F7*L44-M44,IF(AND(F7&lt;=K44,G24&lt;=N43),F7*L44-N44,IF(AND(F7&lt;=K44,G24&gt;=O43),F7*L44-O44,0))))</f>
        <v>-600000</v>
      </c>
      <c r="AB44" s="171">
        <f>INT(IF(AND(F8&lt;=K44,G25&lt;=M43),F8*L44-M44,IF(AND(F8&lt;=K44,G25&lt;=N43),F8*L44-N44,IF(AND(F8&lt;=K44,G25&gt;=O43),F8*L44-O44,0))))</f>
        <v>-600000</v>
      </c>
    </row>
    <row r="45" spans="1:28" hidden="1">
      <c r="K45">
        <v>4099999</v>
      </c>
      <c r="L45">
        <v>0.75</v>
      </c>
      <c r="M45">
        <v>275000</v>
      </c>
      <c r="N45">
        <v>175000</v>
      </c>
      <c r="O45">
        <v>75000</v>
      </c>
      <c r="P45" s="172">
        <f>INT(IF(AND(F3&gt;K44,F3&lt;=K45,O20&lt;=M43),F3*L45-M45,IF(AND(F3&gt;K44,F3&lt;=K45,O20&lt;=N43),F3*L45-N45,IF(AND(F3&gt;K44,F3&lt;=K45,O20&gt;=O43),F3*L45-O45,0))))</f>
        <v>0</v>
      </c>
      <c r="Q45" s="172">
        <f>INT(IF(AND(F4&gt;K44,F4&lt;=K45,O21&lt;=M43),F4*L45-M45,IF(AND(F4&gt;K44,F4&lt;=K45,O21&lt;=N43),F4*L45-N45,IF(AND(F4&gt;K44,F4&lt;=K45,O21&gt;=O43),F4*L45-O45,0))))</f>
        <v>0</v>
      </c>
      <c r="R45" s="172">
        <f>INT(IF(AND(F5&gt;K44,F5&lt;=K45,O22&lt;=M43),F5*L45-M45,IF(AND(F5&gt;K44,F5&lt;=K45,O22&lt;=N43),F5*L45-N45,IF(AND(F5&gt;K44,F5&lt;=K45,O22&gt;=O43),F5*L45-O45,0))))</f>
        <v>0</v>
      </c>
      <c r="S45" s="172">
        <f>INT(IF(AND(F6&gt;K44,F6&lt;=K45,O23&lt;=M43),F6*L45-M45,IF(AND(F6&gt;K44,F6&lt;=K45,O23&lt;=N43),F6*L45-N45,IF(AND(F6&gt;K44,F6&lt;=K45,O23&gt;=O43),F6*L45-O45,0))))</f>
        <v>0</v>
      </c>
      <c r="T45" s="172">
        <f>INT(IF(AND(F7&gt;K44,F7&lt;=K45,O24&lt;=M43),F7*L45-M45,IF(AND(F7&gt;K44,F7&lt;=K45,O24&lt;=N43),F7*L45-N45,IF(AND(F7&gt;K44,F7&lt;=K45,O24&gt;=O43),F7*L45-O45,0))))</f>
        <v>0</v>
      </c>
      <c r="U45" s="172">
        <f>INT(IF(AND(F8&gt;K44,F8&lt;=K45,O25&lt;=M43),F8*L45-M45,IF(AND(F8&gt;K44,F8&lt;=K45,O25&lt;=N43),F8*L45-N45,IF(AND(F8&gt;K44,F8&lt;=K45,O25&gt;=O43),F8*L45-O45,0))))</f>
        <v>0</v>
      </c>
      <c r="W45" s="172">
        <f>INT(IF(AND(F3&gt;K44,F3&lt;=K45,G20&lt;=M43),F3*L45-M45,IF(AND(F3&gt;K44,F3&lt;=K45,G20&lt;=N43),F3*L45-N45,IF(AND(F3&gt;K44,F3&lt;=K45,G20&gt;=O43),F3*L45-O45,0))))</f>
        <v>0</v>
      </c>
      <c r="X45" s="172">
        <f>INT(IF(AND(F4&gt;K44,F4&lt;=K45,G21&lt;=M43),F4*L45-M45,IF(AND(F4&gt;K44,F4&lt;=K45,G21&lt;=N43),F4*L45-N45,IF(AND(F4&gt;K44,F4&lt;=K45,G21&gt;=O43),F4*L45-O45,0))))</f>
        <v>0</v>
      </c>
      <c r="Y45" s="172">
        <f>INT(IF(AND(F5&gt;K44,F5&lt;=K45,G22&lt;=M43),F5*L45-M45,IF(AND(F5&gt;K44,F5&lt;=K45,G22&lt;=N43),F5*L45-N45,IF(AND(F5&gt;K44,F5&lt;=K45,G22&gt;=O43),F5*L45-O45,0))))</f>
        <v>0</v>
      </c>
      <c r="Z45" s="172">
        <f>INT(IF(AND(F6&gt;K44,F6&lt;=K45,G23&lt;=M43),F6*L45-M45,IF(AND(F6&gt;K44,F6&lt;=K45,G23&lt;=N43),F6*L45-N45,IF(AND(F6&gt;K44,F6&lt;=K45,G23&gt;=O43),F6*L45-O45,0))))</f>
        <v>0</v>
      </c>
      <c r="AA45" s="172">
        <f>INT(IF(AND(F7&gt;K44,F7&lt;=K45,G24&lt;=M43),F7*L45-M45,IF(AND(F7&gt;K44,F7&lt;=K45,G24&lt;=N43),F7*L45-N45,IF(AND(F7&gt;K44,F7&lt;=K45,G24&gt;=O43),F7*L45-O45,0))))</f>
        <v>0</v>
      </c>
      <c r="AB45" s="172">
        <f>INT(IF(AND(F8&gt;K44,F8&lt;=K45,G25&lt;=M43),F8*L45-M45,IF(AND(F8&gt;K44,F8&lt;=K45,G25&lt;=N43),F8*L45-N45,IF(AND(F8&gt;K44,F8&lt;=K45,G25&gt;=O43),F8*L45-O45,0))))</f>
        <v>0</v>
      </c>
    </row>
    <row r="46" spans="1:28" hidden="1">
      <c r="K46">
        <v>7699999</v>
      </c>
      <c r="L46">
        <v>0.85</v>
      </c>
      <c r="M46">
        <v>685000</v>
      </c>
      <c r="N46">
        <v>585000</v>
      </c>
      <c r="O46">
        <v>485000</v>
      </c>
      <c r="P46" s="172">
        <f>INT(IF(AND(F3&gt;K45,F3&lt;=K46,O20&lt;=M43),F3*L46-M46,IF(AND(F3&gt;K45,F3&lt;=K46,O20&lt;=N43),F3*L46-N46,IF(AND(F3&gt;K45,F3&lt;=K46,O20&gt;=O43),F3*L46-O46,0))))</f>
        <v>0</v>
      </c>
      <c r="Q46" s="172">
        <f>INT(IF(AND(F4&gt;K45,F4&lt;=K46,O21&lt;=M43),F4*L46-M46,IF(AND(F4&gt;K45,F4&lt;=K46,O21&lt;=N43),F4*L46-N46,IF(AND(F4&gt;K45,F4&lt;=K46,O21&gt;=O43),F4*L46-O46,0))))</f>
        <v>0</v>
      </c>
      <c r="R46" s="172">
        <f>INT(IF(AND(F5&gt;K45,F5&lt;=K46,O22&lt;=M43),F5*L46-M46,IF(AND(F5&gt;K45,F5&lt;=K46,O22&lt;=N43),F5*L46-N46,IF(AND(F5&gt;K45,F5&lt;=K46,O22&gt;=O43),F5*L46-O46,0))))</f>
        <v>0</v>
      </c>
      <c r="S46" s="172">
        <f>INT(IF(AND(F6&gt;K45,F6&lt;=K46,O23&lt;=M43),F6*L46-M46,IF(AND(F6&gt;K45,F6&lt;=K46,O23&lt;=N43),F6*L46-N46,IF(AND(F6&gt;K45,F6&lt;=K46,O23&gt;=O43),F6*L46-O46,0))))</f>
        <v>0</v>
      </c>
      <c r="T46" s="172">
        <f>INT(IF(AND(F7&gt;K45,F7&lt;=K46,O24&lt;=M43),F7*L46-M46,IF(AND(F7&gt;K45,F7&lt;=K46,O24&lt;=N43),F7*L46-N46,IF(AND(F7&gt;K45,F7&lt;=K46,O24&gt;=O43),F7*L46-O46,0))))</f>
        <v>0</v>
      </c>
      <c r="U46" s="172">
        <f>INT(IF(AND(F8&gt;K45,F8&lt;=K46,O25&lt;=M43),F8*L46-M46,IF(AND(F8&gt;K45,F8&lt;=K46,O25&lt;=N43),F8*L46-N46,IF(AND(F8&gt;K45,F8&lt;=K46,O25&gt;=O43),F8*L46-O46,0))))</f>
        <v>0</v>
      </c>
      <c r="W46" s="172">
        <f>INT(IF(AND(F3&gt;K45,F3&lt;=K46,G20&lt;=M43),F3*L46-M46,IF(AND(F3&gt;K45,F3&lt;=K46,G20&lt;=N43),F3*L46-N46,IF(AND(F3&gt;K45,F3&lt;=K46,G20&gt;=O43),F3*L46-O46,0))))</f>
        <v>0</v>
      </c>
      <c r="X46" s="172">
        <f>INT(IF(AND(F4&gt;K45,F4&lt;=K46,G21&lt;=M43),F4*L46-M46,IF(AND(F4&gt;K45,F4&lt;=K46,G21&lt;=N43),F4*L46-N46,IF(AND(F4&gt;K45,F4&lt;=K46,G21&gt;=O43),F4*L46-O46,0))))</f>
        <v>0</v>
      </c>
      <c r="Y46" s="172">
        <f>INT(IF(AND(F5&gt;K45,F5&lt;=K46,G22&lt;=M43),F5*L46-M46,IF(AND(F5&gt;K45,F5&lt;=K46,G22&lt;=N43),F5*L46-N46,IF(AND(F5&gt;K45,F5&lt;=K46,G22&gt;=O43),F5*L46-O46,0))))</f>
        <v>0</v>
      </c>
      <c r="Z46" s="172">
        <f>INT(IF(AND(F6&gt;K45,F6&lt;=K46,G23&lt;=M43),F6*L46-M46,IF(AND(F6&gt;K45,F6&lt;=K46,G23&lt;=N43),F6*L46-N46,IF(AND(F6&gt;K45,F6&lt;=K46,G23&gt;=O43),F6*L46-O46,0))))</f>
        <v>0</v>
      </c>
      <c r="AA46" s="172">
        <f>INT(IF(AND(F7&gt;K45,F7&lt;=K46,G24&lt;=M43),F7*L46-M46,IF(AND(F7&gt;K45,F7&lt;=K46,G24&lt;=N43),F7*L46-N46,IF(AND(F7&gt;K45,F7&lt;=K46,G24&gt;=O43),F7*L46-O46,0))))</f>
        <v>0</v>
      </c>
      <c r="AB46" s="172">
        <f>INT(IF(AND(F8&gt;K45,F8&lt;=K46,G25&lt;=M43),F8*L46-M46,IF(AND(F8&gt;K45,F8&lt;=K46,G25&lt;=N43),F8*L46-N46,IF(AND(F8&gt;K45,F8&lt;=K46,G25&gt;=O43),F8*L46-O46,0))))</f>
        <v>0</v>
      </c>
    </row>
    <row r="47" spans="1:28" hidden="1">
      <c r="K47">
        <v>9999999</v>
      </c>
      <c r="L47">
        <v>0.95</v>
      </c>
      <c r="M47">
        <v>1455000</v>
      </c>
      <c r="N47">
        <v>1355000</v>
      </c>
      <c r="O47">
        <v>1255000</v>
      </c>
      <c r="P47" s="172">
        <f>INT(IF(AND(F3&gt;K46,F3&lt;=K47,O20&lt;=M43),F3*L47-M47,IF(AND(F3&gt;K46,F3&lt;=K47,O20&lt;=N43),F3*L47-N47,IF(AND(F3&gt;K46,F3&lt;=K47,O20&gt;=O43),F3*L47-O47,0))))</f>
        <v>0</v>
      </c>
      <c r="Q47" s="172">
        <f>INT(IF(AND(F4&gt;K46,F4&lt;=K47,O21&lt;=M43),F4*L47-M47,IF(AND(F4&gt;K46,F4&lt;=K47,O21&lt;=N43),F4*L47-N47,IF(AND(F4&gt;K46,F4&lt;=K47,O21&gt;=O43),F4*L47-O47,0))))</f>
        <v>0</v>
      </c>
      <c r="R47" s="172">
        <f>INT(IF(AND(F5&gt;K46,F5&lt;=K47,O22&lt;=M43),F5*L47-M47,IF(AND(F5&gt;K46,F5&lt;=K47,O22&lt;=N43),F5*L47-N47,IF(AND(F5&gt;K46,F5&lt;=K47,O22&gt;=O43),F5*L47-O47,0))))</f>
        <v>0</v>
      </c>
      <c r="S47" s="172">
        <f>INT(IF(AND(F6&gt;K46,F6&lt;=K47,O23&lt;=M43),F6*L47-M47,IF(AND(F6&gt;K46,F6&lt;=K47,O23&lt;=N43),F6*L47-N47,IF(AND(F6&gt;K46,F6&lt;=K47,O23&gt;=O43),F6*L47-O47,0))))</f>
        <v>0</v>
      </c>
      <c r="T47" s="172">
        <f>INT(IF(AND(F7&gt;K46,F7&lt;=K47,O24&lt;=M43),F7*L47-M47,IF(AND(F7&gt;K46,F7&lt;=K47,O24&lt;=N43),F7*L47-N47,IF(AND(F7&gt;K46,F7&lt;=K47,O24&gt;=O43),F7*L47-O47,0))))</f>
        <v>0</v>
      </c>
      <c r="U47" s="172">
        <f>INT(IF(AND(F8&gt;K46,F8&lt;=K47,O25&lt;=M43),F8*L47-M47,IF(AND(F8&gt;K46,F8&lt;=K47,O25&lt;=N43),F8*L47-N47,IF(AND(F8&gt;K46,F8&lt;=K47,O25&gt;=O43),F8*L47-O47,0))))</f>
        <v>0</v>
      </c>
      <c r="W47" s="172">
        <f>INT(IF(AND(F3&gt;K46,F3&lt;=K47,G20&lt;=M43),F3*L47-M47,IF(AND(F3&gt;K46,F3&lt;=K47,G20&lt;=N43),F3*L47-N47,IF(AND(F3&gt;K46,F3&lt;=K47,G20&gt;=O43),F3*L47-O47,0))))</f>
        <v>0</v>
      </c>
      <c r="X47" s="172">
        <f>INT(IF(AND(F4&gt;K46,F4&lt;=K47,G21&lt;=M43),F4*L47-M47,IF(AND(F4&gt;K46,F4&lt;=K47,G21&lt;=N43),F4*L47-N47,IF(AND(F4&gt;K46,F4&lt;=K47,G21&gt;=O43),F4*L47-O47,0))))</f>
        <v>0</v>
      </c>
      <c r="Y47" s="172">
        <f>INT(IF(AND(F5&gt;K46,F5&lt;=K47,G22&lt;=M43),F5*L47-M47,IF(AND(F5&gt;K46,F5&lt;=K47,G22&lt;=N43),F5*L47-N47,IF(AND(F5&gt;K46,F5&lt;=K47,G22&gt;=O43),F5*L47-O47,0))))</f>
        <v>0</v>
      </c>
      <c r="Z47" s="172">
        <f>INT(IF(AND(F6&gt;K46,F6&lt;=K47,G23&lt;=M43),F6*L47-M47,IF(AND(F6&gt;K46,F6&lt;=K47,G23&lt;=N43),F6*L47-N47,IF(AND(F6&gt;K46,F6&lt;=K47,G23&gt;=O43),F6*L47-O47,0))))</f>
        <v>0</v>
      </c>
      <c r="AA47" s="172">
        <f>INT(IF(AND(F7&gt;K46,F7&lt;=K47,G24&lt;=M43),F7*L47-M47,IF(AND(F7&gt;K46,F7&lt;=K47,G24&lt;=N43),F7*L47-N47,IF(AND(F7&gt;K46,F7&lt;=K47,G24&gt;=O43),F7*L47-O47,0))))</f>
        <v>0</v>
      </c>
      <c r="AB47" s="172">
        <f>INT(IF(AND(F8&gt;K46,F8&lt;=K47,G25&lt;=M43),F8*L47-M47,IF(AND(F8&gt;K46,F8&lt;=K47,G25&lt;=N43),F8*L47-N47,IF(AND(F8&gt;K46,F8&lt;=K47,G25&gt;=O43),F8*L47-O47,0))))</f>
        <v>0</v>
      </c>
    </row>
    <row r="48" spans="1:28" hidden="1">
      <c r="K48">
        <v>10000000</v>
      </c>
      <c r="L48">
        <v>1</v>
      </c>
      <c r="M48">
        <v>1955000</v>
      </c>
      <c r="N48">
        <v>1855000</v>
      </c>
      <c r="O48">
        <v>1755000</v>
      </c>
      <c r="P48" s="173">
        <f>INT(IF(AND(F3&gt;K47,O20&lt;=M43),F3*L48-M48,IF(AND(F3&gt;K47,O20&lt;=N43),F3*L48-N48,IF(AND(F3&gt;K47,O20&gt;=O43),F3*L48-O48,0))))</f>
        <v>0</v>
      </c>
      <c r="Q48" s="173">
        <f>INT(IF(AND(F4&gt;K47,O21&lt;=M43),F4*L48-M48,IF(AND(F4&gt;K47,O21&lt;=N43),F4*L48-N48,IF(AND(F4&gt;K47,O21&gt;=O43),F4*L48-O48,0))))</f>
        <v>0</v>
      </c>
      <c r="R48" s="173">
        <f>INT(IF(AND(F5&gt;K47,O22&lt;=M43),F5*L48-M48,IF(AND(F5&gt;K47,O22&lt;=N43),F5*L48-N48,IF(AND(F5&gt;K47,O22&gt;=O43),F5*L48-O48,0))))</f>
        <v>0</v>
      </c>
      <c r="S48" s="173">
        <f>INT(IF(AND(F6&gt;K47,O23&lt;=M43),F6*L48-M48,IF(AND(F6&gt;K47,O23&lt;=N43),F6*L48-N48,IF(AND(F6&gt;K47,O23&gt;=O43),F6*L48-O48,0))))</f>
        <v>0</v>
      </c>
      <c r="T48" s="173">
        <f>INT(IF(AND(F7&gt;K47,O24&lt;=M43),F7*L48-M48,IF(AND(F7&gt;K47,O24&lt;=N43),F7*L48-N48,IF(AND(F7&gt;K47,O24&gt;=O43),F7*L48-O48,0))))</f>
        <v>0</v>
      </c>
      <c r="U48" s="173">
        <f>INT(IF(AND(F8&gt;K47,O25&lt;=M43),F8*L48-M48,IF(AND(F8&gt;K47,O25&lt;=N43),F8*L48-N48,IF(AND(F8&gt;K47,O25&gt;=O43),F8*L48-O48,0))))</f>
        <v>0</v>
      </c>
      <c r="W48" s="173">
        <f>INT(IF(AND(F3&gt;K47,G20&lt;=M43),F3*L48-M48,IF(AND(F3&gt;K47,G20&lt;=N43),F3*L48-N48,IF(AND(F3&gt;K47,G20&gt;=O43),F3*L48-O48,0))))</f>
        <v>0</v>
      </c>
      <c r="X48" s="173">
        <f>INT(IF(AND(F4&gt;K47,G21&lt;=M43),F4*L48-M48,IF(AND(F4&gt;K47,G21&lt;=N43),F4*L48-N48,IF(AND(F4&gt;K47,G21&gt;=O43),F4*L48-O48,0))))</f>
        <v>0</v>
      </c>
      <c r="Y48" s="173">
        <f>INT(IF(AND(F5&gt;K47,G22&lt;=M43),F5*L48-M48,IF(AND(F5&gt;K47,G22&lt;=N43),F5*L48-N48,IF(AND(F5&gt;K47,G22&gt;=O43),F5*L48-O48,0))))</f>
        <v>0</v>
      </c>
      <c r="Z48" s="173">
        <f>INT(IF(AND(F6&gt;K47,G23&lt;=M43),F6*L48-M48,IF(AND(F6&gt;K47,G23&lt;=N43),F6*L48-N48,IF(AND(F6&gt;K47,G23&gt;=O43),F6*L48-O48,0))))</f>
        <v>0</v>
      </c>
      <c r="AA48" s="173">
        <f>INT(IF(AND(F7&gt;K47,G24&lt;=M43),F7*L48-M48,IF(AND(F7&gt;K47,G24&lt;=N43),F7*L48-N48,IF(AND(F7&gt;K47,G24&gt;=O43),F7*L48-O48,0))))</f>
        <v>0</v>
      </c>
      <c r="AB48" s="173">
        <f>INT(IF(AND(F8&gt;K47,G25&lt;=M43),F8*L48-M48,IF(AND(F8&gt;K47,G25&lt;=N43),F8*L48-N48,IF(AND(F8&gt;K47,G25&gt;=O43),F8*L48-O48,0))))</f>
        <v>0</v>
      </c>
    </row>
    <row r="49" spans="1:28" hidden="1">
      <c r="B49" t="s">
        <v>184</v>
      </c>
      <c r="D49" t="s">
        <v>184</v>
      </c>
      <c r="P49">
        <f t="shared" ref="P49:U49" si="23">MAX(SUM(P44:P48),0)</f>
        <v>0</v>
      </c>
      <c r="Q49">
        <f t="shared" si="23"/>
        <v>0</v>
      </c>
      <c r="R49">
        <f t="shared" si="23"/>
        <v>0</v>
      </c>
      <c r="S49">
        <f t="shared" si="23"/>
        <v>0</v>
      </c>
      <c r="T49">
        <f t="shared" si="23"/>
        <v>0</v>
      </c>
      <c r="U49">
        <f t="shared" si="23"/>
        <v>0</v>
      </c>
      <c r="W49">
        <f t="shared" ref="W49:AB49" si="24">MAX(SUM(P44:P48),0)</f>
        <v>0</v>
      </c>
      <c r="X49">
        <f t="shared" si="24"/>
        <v>0</v>
      </c>
      <c r="Y49">
        <f>MAX(SUM(R44:R48),0)</f>
        <v>0</v>
      </c>
      <c r="Z49">
        <f t="shared" si="24"/>
        <v>0</v>
      </c>
      <c r="AA49">
        <f t="shared" si="24"/>
        <v>0</v>
      </c>
      <c r="AB49">
        <f t="shared" si="24"/>
        <v>0</v>
      </c>
    </row>
    <row r="50" spans="1:28" hidden="1">
      <c r="B50" t="s">
        <v>183</v>
      </c>
      <c r="C50" t="s">
        <v>186</v>
      </c>
      <c r="D50" t="s">
        <v>185</v>
      </c>
      <c r="E50" t="s">
        <v>187</v>
      </c>
      <c r="G50" s="198" t="s">
        <v>266</v>
      </c>
      <c r="K50" t="s">
        <v>139</v>
      </c>
      <c r="M50">
        <v>10000000</v>
      </c>
      <c r="N50">
        <v>20000000</v>
      </c>
      <c r="O50">
        <v>20000001</v>
      </c>
    </row>
    <row r="51" spans="1:28" hidden="1">
      <c r="A51" s="198" t="s">
        <v>107</v>
      </c>
      <c r="B51" s="206"/>
      <c r="C51" s="1"/>
      <c r="D51" s="206"/>
      <c r="E51" s="1"/>
      <c r="G51" s="204">
        <f>COUNTIF(C3:C8,"未就学児")</f>
        <v>1</v>
      </c>
      <c r="K51">
        <v>3299999</v>
      </c>
      <c r="L51">
        <v>1</v>
      </c>
      <c r="M51">
        <v>1100000</v>
      </c>
      <c r="N51">
        <v>1000000</v>
      </c>
      <c r="O51">
        <v>900000</v>
      </c>
      <c r="P51" s="171">
        <f>INT(IF(AND(F3&lt;=K51,O20&lt;=M50),F3*L51-M51,IF(AND(F3&lt;=K51,O20&lt;=N50),F3*L51-N51,IF(AND(F3&lt;=K51,O20&gt;=O50),F3*L51-O51,0))))</f>
        <v>-1100000</v>
      </c>
      <c r="Q51" s="171">
        <f>INT(IF(AND(F4&lt;=K51,O21&lt;=M50),F4*L51-M51,IF(AND(F4&lt;=K51,O21&lt;=N50),F4*L51-N51,IF(AND(F4&lt;=K51,O21&gt;=O50),F4*L51-O51,0))))</f>
        <v>-1100000</v>
      </c>
      <c r="R51" s="171">
        <f>INT(IF(AND(F5&lt;=K51,O22&lt;=M50),F5*L51-M51,IF(AND(F5&lt;=K51,O22&lt;=N50),F5*L51-N51,IF(AND(F5&lt;=K51,O22&gt;=O50),F5*L51-O51,0))))</f>
        <v>-1100000</v>
      </c>
      <c r="S51" s="171">
        <f>INT(IF(AND(F6&lt;=K51,O23&lt;=M50),F6*L51-M51,IF(AND(F6&lt;=K51,O23&lt;=N50),F6*L51-N51,IF(AND(F6&lt;=K51,O23&gt;=O50),F6*L51-O51,0))))</f>
        <v>-1100000</v>
      </c>
      <c r="T51" s="171">
        <f>INT(IF(AND(F7&lt;=K51,O24&lt;=M50),F7*L51-M51,IF(AND(F7&lt;=K51,O24&lt;=N50),F7*L51-N51,IF(AND(F7&lt;=K51,O24&gt;=O50),F7*L51-O51,0))))</f>
        <v>-1100000</v>
      </c>
      <c r="U51" s="171">
        <f>INT(IF(AND(F8&lt;=K51,O25&lt;=M50),F8*L51-M51,IF(AND(F8&lt;=K51,O25&lt;=N50),F8*L51-N51,IF(AND(F8&lt;=K51,O25&gt;=O50),F8*L51-O51,0))))</f>
        <v>-1100000</v>
      </c>
      <c r="W51" s="171">
        <f>INT(IF(AND(F3&lt;=K51,G20&lt;=M50),F3*L51-M51,IF(AND(F3&lt;=K51,G20&lt;=N50),F3*L51-N51,IF(AND(F3&lt;=K51,G20&gt;=O50),F3*L51-O51,0))))</f>
        <v>-1100000</v>
      </c>
      <c r="X51" s="171">
        <f>INT(IF(AND(F4&lt;=K51,G21&lt;=M50),F4*L51-M51,IF(AND(F4&lt;=K51,G21&lt;=N50),F4*L51-N51,IF(AND(F4&lt;=K51,G21&gt;=O50),F4*L51-O51,0))))</f>
        <v>-1100000</v>
      </c>
      <c r="Y51" s="171">
        <f>INT(IF(AND(F5&lt;=K51,G22&lt;=M50),F5*L51-M51,IF(AND(F5&lt;=K51,G22&lt;=N50),F5*L51-N51,IF(AND(F5&lt;=K51,G22&gt;=O50),F5*L51-O51,0))))</f>
        <v>-1100000</v>
      </c>
      <c r="Z51" s="171">
        <f>INT(IF(AND(F6&lt;=K51,G23&lt;=M50),F6*L51-M51,IF(AND(F6&lt;=K51,G23&lt;=N50),F6*L51-N51,IF(AND(F6&lt;=K51,G23&gt;=O50),F6*L51-O51,0))))</f>
        <v>-1100000</v>
      </c>
      <c r="AA51" s="171">
        <f>INT(IF(AND(F7&lt;=K51,G24&lt;=M50),F7*L51-M51,IF(AND(F7&lt;=K51,G24&lt;=N50),F7*L51-N51,IF(AND(F7&lt;=K51,G24&gt;=O50),F7*L51-O51,0))))</f>
        <v>-1100000</v>
      </c>
      <c r="AB51" s="171">
        <f>INT(IF(AND(F8&lt;=K51,G25&lt;=M50),F8*L51-M51,IF(AND(F8&lt;=K51,G25&lt;=N50),F8*L51-N51,IF(AND(F8&lt;=K51,G25&gt;=O50),F8*L51-O51,0))))</f>
        <v>-1100000</v>
      </c>
    </row>
    <row r="52" spans="1:28" hidden="1">
      <c r="A52" s="131" t="s">
        <v>108</v>
      </c>
      <c r="B52" s="206"/>
      <c r="C52" s="1"/>
      <c r="D52" s="206"/>
      <c r="E52" s="1"/>
      <c r="K52">
        <v>4099999</v>
      </c>
      <c r="L52">
        <v>0.75</v>
      </c>
      <c r="M52">
        <v>275000</v>
      </c>
      <c r="N52">
        <v>175000</v>
      </c>
      <c r="O52">
        <v>75000</v>
      </c>
      <c r="P52" s="172">
        <f>INT(IF(AND(F3&gt;K51,F3&lt;=K52,O20&lt;=M50),F3*L52-M52,IF(AND(F3&gt;K51,F3&lt;=K52,O20&lt;=N50),F3*L52-N52,IF(AND(F3&gt;K51,F3&lt;=K52,O20&gt;=O50),F3*L52-O52,0))))</f>
        <v>0</v>
      </c>
      <c r="Q52" s="172">
        <f>INT(IF(AND(F4&gt;K51,F4&lt;=K52,O21&lt;=M50),F4*L52-M52,IF(AND(F4&gt;K51,F4&lt;=K52,O21&lt;=N50),F4*L52-N52,IF(AND(F4&gt;K51,F4&lt;=K52,O21&gt;=O50),F4*L52-O52,0))))</f>
        <v>0</v>
      </c>
      <c r="R52" s="172">
        <f>INT(IF(AND(F5&gt;K51,F5&lt;=K52,O22&lt;=M50),F5*L52-M52,IF(AND(F5&gt;K51,F5&lt;=K52,O22&lt;=N50),F5*L52-N52,IF(AND(F5&gt;K51,F5&lt;=K52,O22&gt;=O50),F5*L52-O52,0))))</f>
        <v>0</v>
      </c>
      <c r="S52" s="172">
        <f>INT(IF(AND(F6&gt;K51,F6&lt;=K52,O23&lt;=M50),F6*L52-M52,IF(AND(F6&gt;K51,F6&lt;=K52,O23&lt;=N50),F6*L52-N52,IF(AND(F6&gt;K51,F6&lt;=K52,O23&gt;=O50),F6*L52-O52,0))))</f>
        <v>0</v>
      </c>
      <c r="T52" s="172">
        <f>INT(IF(AND(F7&gt;K51,F7&lt;=K52,O24&lt;=M50),F7*L52-M52,IF(AND(F7&gt;K51,F7&lt;=K52,O24&lt;=N50),F7*L52-N52,IF(AND(F7&gt;K51,F7&lt;=K52,O24&gt;=O50),F7*L52-O52,0))))</f>
        <v>0</v>
      </c>
      <c r="U52" s="172">
        <f>INT(IF(AND(F8&gt;K51,F8&lt;=K52,O25&lt;=M50),F8*L52-M52,IF(AND(F8&gt;K51,F8&lt;=K52,O25&lt;=N50),F8*L52-N52,IF(AND(F8&gt;K51,F8&lt;=K52,O25&gt;=O50),F8*L52-O52,0))))</f>
        <v>0</v>
      </c>
      <c r="W52" s="172">
        <f>INT(IF(AND(F3&gt;K51,F3&lt;=K52,G20&lt;=M50),F3*L52-M52,IF(AND(F3&gt;K51,F3&lt;=K52,G20&lt;=N50),F3*L52-N52,IF(AND(F3&gt;K51,F3&lt;=K52,G20&gt;=O50),F3*L52-O52,0))))</f>
        <v>0</v>
      </c>
      <c r="X52" s="172">
        <f>INT(IF(AND(F4&gt;K51,F4&lt;=K52,G21&lt;=M50),F4*L52-M52,IF(AND(F4&gt;K51,F4&lt;=K52,G21&lt;=N50),F4*L52-N52,IF(AND(F4&gt;K51,F4&lt;=K52,G21&gt;=O50),F4*L52-O52,0))))</f>
        <v>0</v>
      </c>
      <c r="Y52" s="172">
        <f>INT(IF(AND(F5&gt;K51,F5&lt;=K52,G22&lt;=M50),F5*L52-M52,IF(AND(F5&gt;K51,F5&lt;=K52,G22&lt;=N50),F5*L52-N52,IF(AND(F5&gt;K51,F5&lt;=K52,G22&gt;=O50),F5*L52-O52,0))))</f>
        <v>0</v>
      </c>
      <c r="Z52" s="172">
        <f>INT(IF(AND(F6&gt;K51,F6&lt;=K52,G23&lt;=M50),F6*L52-M52,IF(AND(F6&gt;K51,F6&lt;=K52,G23&lt;=N50),F6*L52-N52,IF(AND(F6&gt;K51,F6&lt;=K52,G23&gt;=O50),F6*L52-O52,0))))</f>
        <v>0</v>
      </c>
      <c r="AA52" s="172">
        <f>INT(IF(AND(F7&gt;K51,F7&lt;=K52,G24&lt;=M50),F7*L52-M52,IF(AND(F7&gt;K51,F7&lt;=K52,G24&lt;=N50),F7*L52-N52,IF(AND(F7&gt;K51,F7&lt;=K52,G24&gt;=O50),F7*L52-O52,0))))</f>
        <v>0</v>
      </c>
      <c r="AB52" s="172">
        <f>INT(IF(AND(F8&gt;K51,F8&lt;=K52,G25&lt;=M50),F8*L52-M52,IF(AND(F8&gt;K51,F8&lt;=K52,G25&lt;=N50),F8*L52-N52,IF(AND(F8&gt;K51,F8&lt;=K52,G25&gt;=O50),F8*L52-O52,0))))</f>
        <v>0</v>
      </c>
    </row>
    <row r="53" spans="1:28" hidden="1">
      <c r="A53" s="131" t="s">
        <v>109</v>
      </c>
      <c r="B53" s="206"/>
      <c r="C53" s="1"/>
      <c r="D53" s="206"/>
      <c r="E53" s="1"/>
      <c r="K53">
        <v>7699999</v>
      </c>
      <c r="L53">
        <v>0.85</v>
      </c>
      <c r="M53">
        <v>685000</v>
      </c>
      <c r="N53">
        <v>585000</v>
      </c>
      <c r="O53">
        <v>485000</v>
      </c>
      <c r="P53" s="172">
        <f>INT(IF(AND(F3&gt;K52,F3&lt;=K53,O20&lt;=M50),F3*L53-M53,IF(AND(F3&gt;K52,F3&lt;=K53,O20&lt;=N50),F3*L53-N53,IF(AND(F3&gt;K52,F3&lt;=K53,O20&gt;=O50),F3*L53-O53,0))))</f>
        <v>0</v>
      </c>
      <c r="Q53" s="172">
        <f>INT(IF(AND(F4&gt;K52,F4&lt;=K53,O21&lt;=M50),F4*L53-M53,IF(AND(F4&gt;K52,F4&lt;=K53,O21&lt;=N50),F4*L53-N53,IF(AND(F4&gt;K52,F4&lt;=K53,O21&gt;=O50),F4*L53-O53,0))))</f>
        <v>0</v>
      </c>
      <c r="R53" s="172">
        <f>INT(IF(AND(F5&gt;K52,F5&lt;=K53,O22&lt;=M50),F5*L53-M53,IF(AND(F5&gt;K52,F5&lt;=K53,O22&lt;=N50),F5*L53-N53,IF(AND(F5&gt;K52,F5&lt;=K53,O22&gt;=O50),F5*L53-O53,0))))</f>
        <v>0</v>
      </c>
      <c r="S53" s="172">
        <f>INT(IF(AND(F6&gt;K52,F6&lt;=K53,O23&lt;=M50),F6*L53-M53,IF(AND(F6&gt;K52,F6&lt;=K53,O23&lt;=N50),F6*L53-N53,IF(AND(F6&gt;K52,F6&lt;=K53,O23&gt;=O50),F6*L53-O53,0))))</f>
        <v>0</v>
      </c>
      <c r="T53" s="172">
        <f>INT(IF(AND(F7&gt;K52,F7&lt;=K53,O24&lt;=M50),F7*L53-M53,IF(AND(F7&gt;K52,F7&lt;=K53,O24&lt;=N50),F7*L53-N53,IF(AND(F7&gt;K52,F7&lt;=K53,O24&gt;=O50),F7*L53-O53,0))))</f>
        <v>0</v>
      </c>
      <c r="U53" s="172">
        <f>INT(IF(AND(F8&gt;K52,F8&lt;=K53,O25&lt;=M50),F8*L53-M53,IF(AND(F8&gt;K52,F8&lt;=K53,O25&lt;=N50),F8*L53-N53,IF(AND(F8&gt;K52,F8&lt;=K53,O25&gt;=O50),F8*L53-O53,0))))</f>
        <v>0</v>
      </c>
      <c r="W53" s="172">
        <f>INT(IF(AND(F3&gt;K52,F3&lt;=K53,G20&lt;=M50),F3*L53-M53,IF(AND(F3&gt;K52,F3&lt;=K53,G20&lt;=N50),F3*L53-N53,IF(AND(F3&gt;K52,F3&lt;=K53,G20&gt;=O50),F3*L53-O53,0))))</f>
        <v>0</v>
      </c>
      <c r="X53" s="172">
        <f>INT(IF(AND(F4&gt;K52,F4&lt;=K53,G21&lt;=M50),F4*L53-M53,IF(AND(F4&gt;K52,F4&lt;=K53,G21&lt;=N50),F4*L53-N53,IF(AND(F4&gt;K52,F4&lt;=K53,G21&gt;=O50),F4*L53-O53,0))))</f>
        <v>0</v>
      </c>
      <c r="Y53" s="172">
        <f>INT(IF(AND(F5&gt;K52,F5&lt;=K53,G22&lt;=M50),F5*L53-M53,IF(AND(F5&gt;K52,F5&lt;=K53,G22&lt;=N50),F5*L53-N53,IF(AND(F5&gt;K52,F5&lt;=K53,G22&gt;=O50),F5*L53-O53,0))))</f>
        <v>0</v>
      </c>
      <c r="Z53" s="172">
        <f>INT(IF(AND(F6&gt;K52,F6&lt;=K53,G23&lt;=M50),F6*L53-M53,IF(AND(F6&gt;K52,F6&lt;=K53,G23&lt;=N50),F6*L53-N53,IF(AND(F6&gt;K52,F6&lt;=K53,G23&gt;=O50),F6*L53-O53,0))))</f>
        <v>0</v>
      </c>
      <c r="AA53" s="172">
        <f>INT(IF(AND(F7&gt;K52,F7&lt;=K53,G24&lt;=M50),F7*L53-M53,IF(AND(F7&gt;K52,F7&lt;=K53,G24&lt;=N50),F7*L53-N53,IF(AND(F7&gt;K52,F7&lt;=K53,G24&gt;=O50),F7*L53-O53,0))))</f>
        <v>0</v>
      </c>
      <c r="AB53" s="172">
        <f>INT(IF(AND(F8&gt;K52,F8&lt;=K53,G25&lt;=M50),F8*L53-M53,IF(AND(F8&gt;K52,F8&lt;=K53,G25&lt;=N50),F8*L53-N53,IF(AND(F8&gt;K52,F8&lt;=K53,G25&gt;=O50),F8*L53-O53,0))))</f>
        <v>0</v>
      </c>
    </row>
    <row r="54" spans="1:28" hidden="1">
      <c r="A54" s="131" t="s">
        <v>110</v>
      </c>
      <c r="B54" s="206"/>
      <c r="C54" s="1"/>
      <c r="D54" s="206"/>
      <c r="E54" s="1"/>
      <c r="K54">
        <v>9999999</v>
      </c>
      <c r="L54">
        <v>0.95</v>
      </c>
      <c r="M54">
        <v>1455000</v>
      </c>
      <c r="N54">
        <v>1355000</v>
      </c>
      <c r="O54">
        <v>1255000</v>
      </c>
      <c r="P54" s="172">
        <f>INT(IF(AND(F3&gt;K53,F3&lt;=K54,O20&lt;=M50),F3*L54-M54,IF(AND(F3&gt;K53,F3&lt;=K54,O20&lt;=N50),F3*L54-N54,IF(AND(F3&gt;K53,F3&lt;=K54,O20&gt;=O50),F3*L54-O54,0))))</f>
        <v>0</v>
      </c>
      <c r="Q54" s="172">
        <f>INT(IF(AND(F4&gt;K53,F4&lt;=K54,O21&lt;=M50),F4*L54-M54,IF(AND(F4&gt;K53,F4&lt;=K54,O21&lt;=N50),F4*L54-N54,IF(AND(F4&gt;K53,F4&lt;=K54,O21&gt;=O50),F4*L54-O54,0))))</f>
        <v>0</v>
      </c>
      <c r="R54" s="172">
        <f>INT(IF(AND(F5&gt;K53,F5&lt;=K54,O22&lt;=M50),F5*L54-M54,IF(AND(F5&gt;K53,F5&lt;=K54,O22&lt;=N50),F5*L54-N54,IF(AND(F5&gt;K53,F5&lt;=K54,O22&gt;=O50),F5*L54-O54,0))))</f>
        <v>0</v>
      </c>
      <c r="S54" s="172">
        <f>INT(IF(AND(F6&gt;K53,F6&lt;=K54,O23&lt;=M50),F6*L54-M54,IF(AND(F6&gt;K53,F6&lt;=K54,O23&lt;=N50),F6*L54-N54,IF(AND(F6&gt;K53,F6&lt;=K54,O23&gt;=O50),F6*L54-O54,0))))</f>
        <v>0</v>
      </c>
      <c r="T54" s="172">
        <f>INT(IF(AND(F7&gt;K53,F7&lt;=K54,O24&lt;=M50),F7*L54-M54,IF(AND(F7&gt;K53,F7&lt;=K54,O24&lt;=N50),F7*L54-N54,IF(AND(F7&gt;K53,F7&lt;=K54,O24&gt;=O50),F7*L54-O54,0))))</f>
        <v>0</v>
      </c>
      <c r="U54" s="172">
        <f>INT(IF(AND(F8&gt;K53,F8&lt;=K54,O25&lt;=M50),F8*L54-M54,IF(AND(F8&gt;K53,F8&lt;=K54,O25&lt;=N50),F8*L54-N54,IF(AND(F8&gt;K53,F8&lt;=K54,O25&gt;=O50),F8*L54-O54,0))))</f>
        <v>0</v>
      </c>
      <c r="W54" s="172">
        <f>INT(IF(AND(F3&gt;K53,F3&lt;=K54,G20&lt;=M50),F3*L54-M54,IF(AND(F3&gt;K53,F3&lt;=K54,G20&lt;=N50),F3*L54-N54,IF(AND(F3&gt;K53,F3&lt;=K54,G20&gt;=O50),F3*L54-O54,0))))</f>
        <v>0</v>
      </c>
      <c r="X54" s="172">
        <f>INT(IF(AND(F4&gt;K53,F4&lt;=K54,G21&lt;=M50),F4*L54-M54,IF(AND(F4&gt;K53,F4&lt;=K54,G21&lt;=N50),F4*L54-N54,IF(AND(F4&gt;K53,F4&lt;=K54,G21&gt;=O50),F4*L54-O54,0))))</f>
        <v>0</v>
      </c>
      <c r="Y54" s="172">
        <f>INT(IF(AND(F5&gt;K53,F5&lt;=K54,G22&lt;=M50),F5*L54-M54,IF(AND(F5&gt;K53,F5&lt;=K54,G22&lt;=N50),F5*L54-N54,IF(AND(F5&gt;K53,F5&lt;=K54,G22&gt;=O50),F5*L54-O54,0))))</f>
        <v>0</v>
      </c>
      <c r="Z54" s="172">
        <f>INT(IF(AND(F6&gt;K53,F6&lt;=K54,G23&lt;=M50),F6*L54-M54,IF(AND(F6&gt;K53,F6&lt;=K54,G23&lt;=N50),F6*L54-N54,IF(AND(F6&gt;K53,F6&lt;=K54,G23&gt;=O50),F6*L54-O54,0))))</f>
        <v>0</v>
      </c>
      <c r="AA54" s="172">
        <f>INT(IF(AND(F7&gt;K53,F7&lt;=K54,G24&lt;=M50),F7*L54-M54,IF(AND(F7&gt;K53,F7&lt;=K54,G24&lt;=N50),F7*L54-N54,IF(AND(F7&gt;K53,F7&lt;=K54,G24&gt;=O50),F7*L54-O54,0))))</f>
        <v>0</v>
      </c>
      <c r="AB54" s="172">
        <f>INT(IF(AND(F8&gt;K53,F8&lt;=K54,G25&lt;=M50),F8*L54-M54,IF(AND(F8&gt;K53,F8&lt;=K54,G25&lt;=N50),F8*L54-N54,IF(AND(F8&gt;K53,F8&lt;=K54,G25&gt;=O50),F8*L54-O54,0))))</f>
        <v>0</v>
      </c>
    </row>
    <row r="55" spans="1:28" hidden="1">
      <c r="A55" s="131" t="s">
        <v>111</v>
      </c>
      <c r="B55" s="206"/>
      <c r="C55" s="1"/>
      <c r="D55" s="206"/>
      <c r="E55" s="1"/>
      <c r="K55">
        <v>10000000</v>
      </c>
      <c r="L55">
        <v>1</v>
      </c>
      <c r="M55">
        <v>1955000</v>
      </c>
      <c r="N55">
        <v>1855000</v>
      </c>
      <c r="O55">
        <v>1755000</v>
      </c>
      <c r="P55" s="173">
        <f>INT(IF(AND(F3&gt;K54,O20&lt;=M50),F3*L55-M55,IF(AND(F3&gt;K54,O20&lt;=N50),F3*L55-N55,IF(AND(F3&gt;K54,O20&gt;=O50),F3*L55-O55,0))))</f>
        <v>0</v>
      </c>
      <c r="Q55" s="173">
        <f>INT(IF(AND(F4&gt;K54,O21&lt;=M50),F4*L55-M55,IF(AND(F4&gt;K54,O21&lt;=N50),F4*L55-N55,IF(AND(F4&gt;K54,O21&gt;=O50),F4*L55-O55,0))))</f>
        <v>0</v>
      </c>
      <c r="R55" s="173">
        <f>INT(IF(AND(F5&gt;K54,O22&lt;=M50),F5*L55-M55,IF(AND(F5&gt;K54,O22&lt;=N50),F5*L55-N55,IF(AND(F5&gt;K54,O22&gt;=O50),F5*L55-O55,0))))</f>
        <v>0</v>
      </c>
      <c r="S55" s="173">
        <f>INT(IF(AND(F6&gt;K54,O23&lt;=M50),F6*L55-M55,IF(AND(F6&gt;K54,O23&lt;=N50),F6*L55-N55,IF(AND(F6&gt;K54,O23&gt;=O50),F6*L55-O55,0))))</f>
        <v>0</v>
      </c>
      <c r="T55" s="173">
        <f>INT(IF(AND(F7&gt;K54,O24&lt;=M50),F7*L55-M55,IF(AND(F7&gt;K54,O24&lt;=N50),F7*L55-N55,IF(AND(F7&gt;K54,O24&gt;=O50),F7*L55-O55,0))))</f>
        <v>0</v>
      </c>
      <c r="U55" s="173">
        <f>INT(IF(AND(F8&gt;K54,O25&lt;=M50),F8*L55-M55,IF(AND(F8&gt;K54,O25&lt;=N50),F8*L55-N55,IF(AND(F8&gt;K54,O25&gt;=O50),F8*L55-O55,0))))</f>
        <v>0</v>
      </c>
      <c r="W55" s="173">
        <f>INT(IF(AND(F3&gt;K54,G20&lt;=M50),F3*L55-M55,IF(AND(F3&gt;K54,G20&lt;=N50),F3*L55-N55,IF(AND(F3&gt;K54,G20&gt;=O50),F3*L55-O55,0))))</f>
        <v>0</v>
      </c>
      <c r="X55" s="173">
        <f>INT(IF(AND(F4&gt;K54,G21&lt;=M50),F4*L55-M55,IF(AND(F4&gt;K54,G21&lt;=N50),F4*L55-N55,IF(AND(F4&gt;K54,G21&gt;=O50),F4*L55-O55,0))))</f>
        <v>0</v>
      </c>
      <c r="Y55" s="173">
        <f>INT(IF(AND(F5&gt;K54,G22&lt;=M50),F5*L55-M55,IF(AND(F5&gt;K54,G22&lt;=N50),F5*L55-N55,IF(AND(F5&gt;K54,G22&gt;=O50),F5*L55-O55,0))))</f>
        <v>0</v>
      </c>
      <c r="Z55" s="173">
        <f>INT(IF(AND(F6&gt;K54,G23&lt;=M50),F6*L55-M55,IF(AND(F6&gt;K54,G23&lt;=N50),F6*L55-N55,IF(AND(F6&gt;K54,G23&gt;=O50),F6*L55-O55,0))))</f>
        <v>0</v>
      </c>
      <c r="AA55" s="173">
        <f>INT(IF(AND(F7&gt;K54,G24&lt;=M50),F7*L55-M55,IF(AND(F7&gt;K54,G24&lt;=N50),F7*L55-N55,IF(AND(F7&gt;K54,G24&gt;=O50),F7*L55-O55,0))))</f>
        <v>0</v>
      </c>
      <c r="AB55" s="173">
        <f>INT(IF(AND(F8&gt;K54,G25&lt;=M50),F8*L55-M55,IF(AND(F8&gt;K54,G25&lt;=N50),F8*L55-N55,IF(AND(F8&gt;K54,G25&gt;=O50),F8*L55-O55,0))))</f>
        <v>0</v>
      </c>
    </row>
    <row r="56" spans="1:28" hidden="1">
      <c r="A56" s="131" t="s">
        <v>112</v>
      </c>
      <c r="B56" s="206"/>
      <c r="C56" s="1"/>
      <c r="D56" s="206"/>
      <c r="E56" s="1"/>
      <c r="P56">
        <f t="shared" ref="P56:U56" si="25">MAX(SUM(P51:P55),0)</f>
        <v>0</v>
      </c>
      <c r="Q56">
        <f t="shared" si="25"/>
        <v>0</v>
      </c>
      <c r="R56">
        <f t="shared" si="25"/>
        <v>0</v>
      </c>
      <c r="S56">
        <f t="shared" si="25"/>
        <v>0</v>
      </c>
      <c r="T56">
        <f t="shared" si="25"/>
        <v>0</v>
      </c>
      <c r="U56">
        <f t="shared" si="25"/>
        <v>0</v>
      </c>
      <c r="W56">
        <f t="shared" ref="W56:AB56" si="26">MAX(SUM(P51:P55),0)</f>
        <v>0</v>
      </c>
      <c r="X56">
        <f t="shared" si="26"/>
        <v>0</v>
      </c>
      <c r="Y56">
        <f t="shared" si="26"/>
        <v>0</v>
      </c>
      <c r="Z56">
        <f t="shared" si="26"/>
        <v>0</v>
      </c>
      <c r="AA56">
        <f t="shared" si="26"/>
        <v>0</v>
      </c>
      <c r="AB56">
        <f t="shared" si="26"/>
        <v>0</v>
      </c>
    </row>
    <row r="57" spans="1:28" hidden="1">
      <c r="B57" t="s">
        <v>271</v>
      </c>
      <c r="D57" t="s">
        <v>271</v>
      </c>
      <c r="K57" t="s">
        <v>140</v>
      </c>
    </row>
    <row r="58" spans="1:28" hidden="1">
      <c r="K58">
        <v>24000000</v>
      </c>
      <c r="L58">
        <v>430000</v>
      </c>
    </row>
    <row r="59" spans="1:28" hidden="1">
      <c r="K59">
        <v>24500000</v>
      </c>
      <c r="L59">
        <v>290000</v>
      </c>
    </row>
    <row r="60" spans="1:28" hidden="1">
      <c r="K60">
        <v>25000000</v>
      </c>
      <c r="L60">
        <v>150000</v>
      </c>
    </row>
    <row r="61" spans="1:28" hidden="1">
      <c r="K61">
        <v>25000001</v>
      </c>
      <c r="L61">
        <v>0</v>
      </c>
    </row>
    <row r="62" spans="1:28" hidden="1"/>
    <row r="63" spans="1:28" hidden="1"/>
    <row r="64" spans="1:28" hidden="1"/>
    <row r="65" hidden="1"/>
    <row r="66" hidden="1"/>
    <row r="67" hidden="1"/>
    <row r="68" hidden="1"/>
    <row r="69" hidden="1"/>
  </sheetData>
  <sheetProtection algorithmName="SHA-512" hashValue="BkXMxI6T8/BF6I2YuOIGO02XoqMeVBHpjb8ogkxpQo6M1y4+jIcfXOK15IWfCZYyrJL75krmQUCvwGRFtHS+kw==" saltValue="rzujaxn+BsLP0yxA4Z/xwQ==" spinCount="100000" sheet="1" selectLockedCells="1"/>
  <mergeCells count="3">
    <mergeCell ref="C16:E16"/>
    <mergeCell ref="F13:G13"/>
    <mergeCell ref="F12:H12"/>
  </mergeCells>
  <phoneticPr fontId="2"/>
  <conditionalFormatting sqref="J4">
    <cfRule type="cellIs" dxfId="7" priority="1" operator="equal">
      <formula>"黄色セルチェックNG"</formula>
    </cfRule>
  </conditionalFormatting>
  <dataValidations count="4">
    <dataValidation type="list" allowBlank="1" showInputMessage="1" showErrorMessage="1" sqref="B3" xr:uid="{00000000-0002-0000-0000-000000000000}">
      <formula1>$B$29:$B$30</formula1>
    </dataValidation>
    <dataValidation type="list" showInputMessage="1" showErrorMessage="1" sqref="B4:B8" xr:uid="{00000000-0002-0000-0000-000001000000}">
      <formula1>$B$28:$B$29</formula1>
    </dataValidation>
    <dataValidation type="list" allowBlank="1" showInputMessage="1" showErrorMessage="1" sqref="C3" xr:uid="{00000000-0002-0000-0000-000002000000}">
      <formula1>IF(B3="国保加入する",$C$28:$C$31,$C$28:$C$32)</formula1>
    </dataValidation>
    <dataValidation type="list" allowBlank="1" showInputMessage="1" showErrorMessage="1" sqref="C4:C8" xr:uid="{00000000-0002-0000-0000-000003000000}">
      <formula1>IF(B4="国保加入する",$C$28:$C$31,$C$27)</formula1>
    </dataValidation>
  </dataValidations>
  <pageMargins left="0.7" right="0.7" top="0.75" bottom="0.75" header="0.3" footer="0.3"/>
  <pageSetup paperSize="9" scale="8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48"/>
  <sheetViews>
    <sheetView view="pageBreakPreview" zoomScale="75" zoomScaleNormal="85" zoomScaleSheetLayoutView="70" workbookViewId="0">
      <selection activeCell="G25" sqref="G25"/>
    </sheetView>
  </sheetViews>
  <sheetFormatPr defaultRowHeight="13.5"/>
  <cols>
    <col min="1" max="1" width="13" style="3" bestFit="1" customWidth="1"/>
    <col min="2" max="4" width="12.5" customWidth="1"/>
    <col min="5" max="5" width="11.25" customWidth="1"/>
    <col min="6" max="6" width="9" customWidth="1"/>
    <col min="7" max="7" width="11" bestFit="1" customWidth="1"/>
    <col min="8" max="8" width="15.875" customWidth="1"/>
    <col min="9" max="9" width="12.875" customWidth="1"/>
    <col min="10" max="10" width="14.75" customWidth="1"/>
    <col min="11" max="12" width="14.625" customWidth="1"/>
    <col min="13" max="13" width="11.875" customWidth="1"/>
    <col min="14" max="14" width="10.25" bestFit="1" customWidth="1"/>
    <col min="15" max="15" width="12.25" customWidth="1"/>
    <col min="16" max="18" width="9" customWidth="1"/>
    <col min="19" max="19" width="11" customWidth="1"/>
    <col min="20" max="25" width="9" customWidth="1"/>
    <col min="26" max="26" width="13.5" bestFit="1" customWidth="1"/>
    <col min="27" max="28" width="11.625" bestFit="1" customWidth="1"/>
    <col min="29" max="30" width="9" customWidth="1"/>
    <col min="31" max="31" width="10.5" bestFit="1" customWidth="1"/>
    <col min="32" max="33" width="9.25" bestFit="1" customWidth="1"/>
    <col min="37" max="37" width="10.5" bestFit="1" customWidth="1"/>
  </cols>
  <sheetData>
    <row r="1" spans="1:45" ht="14.25">
      <c r="A1" s="228" t="s">
        <v>261</v>
      </c>
      <c r="B1" s="49" t="s">
        <v>262</v>
      </c>
      <c r="C1" s="50" t="s">
        <v>6</v>
      </c>
      <c r="D1" s="355" t="s">
        <v>7</v>
      </c>
      <c r="E1" s="355"/>
      <c r="F1" s="355"/>
      <c r="G1" s="229" t="s">
        <v>19</v>
      </c>
      <c r="L1" s="127"/>
      <c r="M1" s="303" t="s">
        <v>295</v>
      </c>
      <c r="N1" s="56" t="s">
        <v>221</v>
      </c>
      <c r="P1" s="73"/>
      <c r="U1" s="73"/>
      <c r="Y1" s="73"/>
      <c r="AC1" s="73"/>
    </row>
    <row r="2" spans="1:45" ht="14.25">
      <c r="A2" s="280"/>
      <c r="B2" s="227"/>
      <c r="C2" s="227"/>
      <c r="D2" s="341"/>
      <c r="E2" s="342"/>
      <c r="F2" s="343"/>
      <c r="G2" s="198" t="s">
        <v>263</v>
      </c>
      <c r="H2" s="244"/>
      <c r="L2" s="127"/>
      <c r="P2" s="73"/>
      <c r="U2" s="198"/>
      <c r="V2" s="131"/>
      <c r="W2" s="131"/>
      <c r="X2" s="131"/>
      <c r="Y2" s="131"/>
      <c r="Z2" s="131"/>
      <c r="AA2" s="131"/>
      <c r="AB2" s="131"/>
      <c r="AC2" s="131"/>
      <c r="AS2" s="224" t="s">
        <v>220</v>
      </c>
    </row>
    <row r="3" spans="1:45">
      <c r="A3" s="2" t="s">
        <v>0</v>
      </c>
      <c r="B3" s="41">
        <f>IF(AND(A2="",B2=""),COUNT(B5:B9),A2+B2)</f>
        <v>1</v>
      </c>
      <c r="C3" s="41">
        <f>IF(C2="",COUNT(C5:C9),C2)</f>
        <v>2</v>
      </c>
      <c r="D3" s="354">
        <f>IF(D2="",COUNT(D5:D9),D2)</f>
        <v>0</v>
      </c>
      <c r="E3" s="354"/>
      <c r="F3" s="354"/>
      <c r="G3" s="42">
        <f>SUM(B3:D3)</f>
        <v>3</v>
      </c>
      <c r="K3" s="130"/>
      <c r="L3" s="127"/>
      <c r="M3" s="131"/>
      <c r="P3" t="s">
        <v>135</v>
      </c>
      <c r="U3" t="s">
        <v>253</v>
      </c>
      <c r="Y3" t="s">
        <v>254</v>
      </c>
      <c r="AC3" t="s">
        <v>255</v>
      </c>
      <c r="AF3" t="s">
        <v>247</v>
      </c>
      <c r="AJ3" t="s">
        <v>248</v>
      </c>
      <c r="AN3" t="s">
        <v>249</v>
      </c>
    </row>
    <row r="4" spans="1:45">
      <c r="A4" s="2"/>
      <c r="B4" s="18" t="s">
        <v>8</v>
      </c>
      <c r="C4" s="18" t="s">
        <v>8</v>
      </c>
      <c r="D4" s="18" t="s">
        <v>8</v>
      </c>
      <c r="E4" s="19" t="s">
        <v>29</v>
      </c>
      <c r="F4" s="185" t="s">
        <v>46</v>
      </c>
      <c r="G4" s="189" t="s">
        <v>47</v>
      </c>
      <c r="H4" s="190" t="s">
        <v>171</v>
      </c>
      <c r="J4" s="205" t="s">
        <v>180</v>
      </c>
      <c r="K4" s="132">
        <v>430000</v>
      </c>
      <c r="L4" s="131" t="s">
        <v>168</v>
      </c>
      <c r="M4" s="131"/>
      <c r="P4" t="s">
        <v>40</v>
      </c>
      <c r="Q4" t="s">
        <v>41</v>
      </c>
      <c r="R4" t="s">
        <v>42</v>
      </c>
      <c r="U4" t="s">
        <v>40</v>
      </c>
      <c r="V4" t="s">
        <v>41</v>
      </c>
      <c r="W4" t="s">
        <v>42</v>
      </c>
      <c r="Y4" t="s">
        <v>40</v>
      </c>
      <c r="Z4" t="s">
        <v>41</v>
      </c>
      <c r="AA4" t="s">
        <v>42</v>
      </c>
      <c r="AC4" t="s">
        <v>41</v>
      </c>
      <c r="AF4" t="s">
        <v>40</v>
      </c>
      <c r="AG4" t="s">
        <v>41</v>
      </c>
      <c r="AH4" t="s">
        <v>42</v>
      </c>
      <c r="AJ4" t="s">
        <v>40</v>
      </c>
      <c r="AK4" t="s">
        <v>41</v>
      </c>
      <c r="AL4" t="s">
        <v>42</v>
      </c>
      <c r="AN4" t="s">
        <v>41</v>
      </c>
      <c r="AS4" s="132">
        <v>430000</v>
      </c>
    </row>
    <row r="5" spans="1:45">
      <c r="A5" s="17" t="s">
        <v>1</v>
      </c>
      <c r="B5" s="139" t="str">
        <f>試算シート!F28</f>
        <v/>
      </c>
      <c r="C5" s="139">
        <f>試算シート!G28</f>
        <v>2020000</v>
      </c>
      <c r="D5" s="139" t="str">
        <f>試算シート!H28</f>
        <v/>
      </c>
      <c r="E5" s="139">
        <f>試算シート!I28</f>
        <v>0</v>
      </c>
      <c r="F5" s="186">
        <f>IF(E5="",0,IF(E5&gt;=K5,E5-K5,0))</f>
        <v>0</v>
      </c>
      <c r="G5" s="188">
        <f>IF(D5="",0,D5-E5+F5)</f>
        <v>0</v>
      </c>
      <c r="H5" s="190" t="s">
        <v>172</v>
      </c>
      <c r="J5" s="205" t="s">
        <v>181</v>
      </c>
      <c r="K5" s="132">
        <v>0</v>
      </c>
      <c r="L5" s="131" t="s">
        <v>134</v>
      </c>
      <c r="M5" s="131"/>
      <c r="P5" s="10">
        <f>試算シート!F37</f>
        <v>0</v>
      </c>
      <c r="Q5" s="10">
        <f>試算シート!G37</f>
        <v>1590000</v>
      </c>
      <c r="R5" s="10">
        <f>試算シート!H37</f>
        <v>0</v>
      </c>
      <c r="U5" s="10">
        <f>ROUNDDOWN(P5*K6,0)</f>
        <v>0</v>
      </c>
      <c r="V5" s="10">
        <f>ROUNDDOWN(Q5*K6,0)</f>
        <v>147870</v>
      </c>
      <c r="W5" s="10">
        <f>ROUNDDOWN(R5*K6,0)</f>
        <v>0</v>
      </c>
      <c r="Y5" s="10">
        <f>ROUNDDOWN(P5*K9,0)</f>
        <v>0</v>
      </c>
      <c r="Z5" s="10">
        <f>ROUNDDOWN(Q5*K9,0)</f>
        <v>48018</v>
      </c>
      <c r="AA5" s="10">
        <f>ROUNDDOWN(R5*K9,0)</f>
        <v>0</v>
      </c>
      <c r="AC5" s="10">
        <f>ROUNDDOWN(Q5*K12,0)</f>
        <v>40704</v>
      </c>
      <c r="AF5" s="268">
        <f>IF($M$23=1,ROUNDUP(U5*$G$25/12,0),IF($M$23="",0,ROUNDUP(ROUNDUP(U5*$M$23,0)*$G$25/12,0)))</f>
        <v>0</v>
      </c>
      <c r="AG5" s="268">
        <f t="shared" ref="AG5:AJ5" si="0">IF($M$23=1,ROUNDUP(V5*$G$25/12,0),IF($M$23="",0,ROUNDUP(ROUNDUP(V5*$M$23,0)*$G$25/12,0)))</f>
        <v>0</v>
      </c>
      <c r="AH5" s="268">
        <f t="shared" si="0"/>
        <v>0</v>
      </c>
      <c r="AI5" s="198"/>
      <c r="AJ5" s="268">
        <f t="shared" si="0"/>
        <v>0</v>
      </c>
      <c r="AK5" s="268">
        <f t="shared" ref="AK5" si="1">IF($M$23=1,ROUNDUP(Z5*$G$25/12,0),IF($M$23="",0,ROUNDUP(ROUNDUP(Z5*$M$23,0)*$G$25/12,0)))</f>
        <v>0</v>
      </c>
      <c r="AL5" s="268">
        <f t="shared" ref="AL5:AN9" si="2">IF($M$23=1,ROUNDUP(AA5*$G$25/12,0),IF($M$23="",0,ROUNDUP(ROUNDUP(AA5*$M$23,0)*$G$25/12,0)))</f>
        <v>0</v>
      </c>
      <c r="AM5" s="198"/>
      <c r="AN5" s="268">
        <f t="shared" si="2"/>
        <v>0</v>
      </c>
      <c r="AS5" s="132">
        <v>0</v>
      </c>
    </row>
    <row r="6" spans="1:45">
      <c r="A6" s="17" t="s">
        <v>2</v>
      </c>
      <c r="B6" s="139" t="str">
        <f>試算シート!F29</f>
        <v/>
      </c>
      <c r="C6" s="139">
        <f>試算シート!G29</f>
        <v>0</v>
      </c>
      <c r="D6" s="139" t="str">
        <f>試算シート!H29</f>
        <v/>
      </c>
      <c r="E6" s="139">
        <f>試算シート!I29</f>
        <v>0</v>
      </c>
      <c r="F6" s="186">
        <f>IF(E6="",0,IF(E6&gt;=K5,E6-K5,0))</f>
        <v>0</v>
      </c>
      <c r="G6" s="188">
        <f>IF(D6="",0,D6-E6+F6)</f>
        <v>0</v>
      </c>
      <c r="I6" s="344" t="s">
        <v>11</v>
      </c>
      <c r="J6" s="7" t="s">
        <v>18</v>
      </c>
      <c r="K6" s="299">
        <v>9.2999999999999999E-2</v>
      </c>
      <c r="L6" s="131"/>
      <c r="M6" s="131"/>
      <c r="P6" s="10">
        <f>試算シート!F38</f>
        <v>0</v>
      </c>
      <c r="Q6" s="10">
        <f>試算シート!G38</f>
        <v>0</v>
      </c>
      <c r="R6" s="10">
        <f>試算シート!H38</f>
        <v>0</v>
      </c>
      <c r="U6" s="10">
        <f>ROUNDDOWN(P6*K6,0)</f>
        <v>0</v>
      </c>
      <c r="V6" s="10">
        <f>ROUNDDOWN(Q6*K6,0)</f>
        <v>0</v>
      </c>
      <c r="W6" s="10">
        <f>ROUNDDOWN(R6*K6,0)</f>
        <v>0</v>
      </c>
      <c r="Y6" s="10">
        <f>ROUNDDOWN(P6*K9,0)</f>
        <v>0</v>
      </c>
      <c r="Z6" s="10">
        <f>ROUNDDOWN(Q6*K9,0)</f>
        <v>0</v>
      </c>
      <c r="AA6" s="10">
        <f>ROUNDDOWN(R6*K9,0)</f>
        <v>0</v>
      </c>
      <c r="AC6" s="10">
        <f>ROUNDDOWN(Q6*K12,0)</f>
        <v>0</v>
      </c>
      <c r="AF6" s="268">
        <f t="shared" ref="AF6:AF9" si="3">IF($M$23=1,ROUNDUP(U6*$G$25/12,0),IF($M$23="",0,ROUNDUP(ROUNDUP(U6*$M$23,0)*$G$25/12,0)))</f>
        <v>0</v>
      </c>
      <c r="AG6" s="268">
        <f t="shared" ref="AG6:AG9" si="4">IF($M$23=1,ROUNDUP(V6*$G$25/12,0),IF($M$23="",0,ROUNDUP(ROUNDUP(V6*$M$23,0)*$G$25/12,0)))</f>
        <v>0</v>
      </c>
      <c r="AH6" s="268">
        <f t="shared" ref="AH6:AH9" si="5">IF($M$23=1,ROUNDUP(W6*$G$25/12,0),IF($M$23="",0,ROUNDUP(ROUNDUP(W6*$M$23,0)*$G$25/12,0)))</f>
        <v>0</v>
      </c>
      <c r="AI6" s="198"/>
      <c r="AJ6" s="268">
        <f t="shared" ref="AJ6:AJ9" si="6">IF($M$23=1,ROUNDUP(Y6*$G$25/12,0),IF($M$23="",0,ROUNDUP(ROUNDUP(Y6*$M$23,0)*$G$25/12,0)))</f>
        <v>0</v>
      </c>
      <c r="AK6" s="268">
        <f t="shared" ref="AK6:AK9" si="7">IF($M$23=1,ROUNDUP(Z6*$G$25/12,0),IF($M$23="",0,ROUNDUP(ROUNDUP(Z6*$M$23,0)*$G$25/12,0)))</f>
        <v>0</v>
      </c>
      <c r="AL6" s="268">
        <f t="shared" ref="AL6:AL9" si="8">IF($M$23=1,ROUNDUP(AA6*$G$25/12,0),IF($M$23="",0,ROUNDUP(ROUNDUP(AA6*$M$23,0)*$G$25/12,0)))</f>
        <v>0</v>
      </c>
      <c r="AM6" s="198"/>
      <c r="AN6" s="268">
        <f t="shared" si="2"/>
        <v>0</v>
      </c>
      <c r="AS6" s="133">
        <v>8.3900000000000002E-2</v>
      </c>
    </row>
    <row r="7" spans="1:45">
      <c r="A7" s="17" t="s">
        <v>3</v>
      </c>
      <c r="B7" s="139">
        <f>試算シート!F30</f>
        <v>0</v>
      </c>
      <c r="C7" s="139" t="str">
        <f>試算シート!G30</f>
        <v/>
      </c>
      <c r="D7" s="139" t="str">
        <f>試算シート!H30</f>
        <v/>
      </c>
      <c r="E7" s="139">
        <f>試算シート!I30</f>
        <v>0</v>
      </c>
      <c r="F7" s="186">
        <f>IF(E7="",0,IF(E7&gt;=K5,E7-K5,0))</f>
        <v>0</v>
      </c>
      <c r="G7" s="188">
        <f>IF(D7="",0,D7-E7+F7)</f>
        <v>0</v>
      </c>
      <c r="I7" s="344"/>
      <c r="J7" s="7" t="s">
        <v>15</v>
      </c>
      <c r="K7" s="300">
        <v>34424</v>
      </c>
      <c r="L7" s="131"/>
      <c r="M7" s="131"/>
      <c r="P7" s="10">
        <f>試算シート!F39</f>
        <v>0</v>
      </c>
      <c r="Q7" s="10">
        <f>試算シート!G39</f>
        <v>0</v>
      </c>
      <c r="R7" s="10">
        <f>試算シート!H39</f>
        <v>0</v>
      </c>
      <c r="U7" s="10">
        <f>ROUNDDOWN(P7*K6,0)</f>
        <v>0</v>
      </c>
      <c r="V7" s="10">
        <f>ROUNDDOWN(Q7*K6,0)</f>
        <v>0</v>
      </c>
      <c r="W7" s="10">
        <f>ROUNDDOWN(R7*K6,0)</f>
        <v>0</v>
      </c>
      <c r="Y7" s="10">
        <f>ROUNDDOWN(P7*K9,0)</f>
        <v>0</v>
      </c>
      <c r="Z7" s="10">
        <f>ROUNDDOWN(Q7*K9,0)</f>
        <v>0</v>
      </c>
      <c r="AA7" s="10">
        <f>ROUNDDOWN(R7*K9,0)</f>
        <v>0</v>
      </c>
      <c r="AC7" s="10">
        <f>ROUNDDOWN(Q7*K12,0)</f>
        <v>0</v>
      </c>
      <c r="AF7" s="268">
        <f t="shared" si="3"/>
        <v>0</v>
      </c>
      <c r="AG7" s="268">
        <f t="shared" si="4"/>
        <v>0</v>
      </c>
      <c r="AH7" s="268">
        <f t="shared" si="5"/>
        <v>0</v>
      </c>
      <c r="AI7" s="198"/>
      <c r="AJ7" s="268">
        <f t="shared" si="6"/>
        <v>0</v>
      </c>
      <c r="AK7" s="268">
        <f t="shared" si="7"/>
        <v>0</v>
      </c>
      <c r="AL7" s="268">
        <f t="shared" si="8"/>
        <v>0</v>
      </c>
      <c r="AM7" s="198"/>
      <c r="AN7" s="268">
        <f t="shared" si="2"/>
        <v>0</v>
      </c>
      <c r="AS7" s="132">
        <v>25560</v>
      </c>
    </row>
    <row r="8" spans="1:45">
      <c r="A8" s="17" t="s">
        <v>4</v>
      </c>
      <c r="B8" s="139" t="str">
        <f>試算シート!F31</f>
        <v/>
      </c>
      <c r="C8" s="139" t="str">
        <f>試算シート!G31</f>
        <v/>
      </c>
      <c r="D8" s="139" t="str">
        <f>試算シート!H31</f>
        <v/>
      </c>
      <c r="E8" s="139">
        <f>試算シート!I31</f>
        <v>0</v>
      </c>
      <c r="F8" s="186">
        <f>IF(E8="",0,IF(E8&gt;=K5,E8-K5,0))</f>
        <v>0</v>
      </c>
      <c r="G8" s="188">
        <f>IF(D8="",0,D8-E8+F8)</f>
        <v>0</v>
      </c>
      <c r="I8" s="344"/>
      <c r="J8" s="7" t="s">
        <v>16</v>
      </c>
      <c r="K8" s="300">
        <v>33574</v>
      </c>
      <c r="L8" s="134" t="s">
        <v>25</v>
      </c>
      <c r="M8" s="302">
        <v>650000</v>
      </c>
      <c r="P8" s="10">
        <f>試算シート!F40</f>
        <v>0</v>
      </c>
      <c r="Q8" s="10">
        <f>試算シート!G40</f>
        <v>0</v>
      </c>
      <c r="R8" s="10">
        <f>試算シート!H40</f>
        <v>0</v>
      </c>
      <c r="U8" s="10">
        <f>ROUNDDOWN(P8*K6,0)</f>
        <v>0</v>
      </c>
      <c r="V8" s="10">
        <f>ROUNDDOWN(Q8*K6,0)</f>
        <v>0</v>
      </c>
      <c r="W8" s="10">
        <f>ROUNDDOWN(R8*K6,0)</f>
        <v>0</v>
      </c>
      <c r="Y8" s="10">
        <f>ROUNDDOWN(P8*K9,0)</f>
        <v>0</v>
      </c>
      <c r="Z8" s="10">
        <f>ROUNDDOWN(Q8*K9,0)</f>
        <v>0</v>
      </c>
      <c r="AA8" s="10">
        <f>ROUNDDOWN(R8*K9,0)</f>
        <v>0</v>
      </c>
      <c r="AC8" s="10">
        <f>ROUNDDOWN(Q8*K12,0)</f>
        <v>0</v>
      </c>
      <c r="AF8" s="268">
        <f t="shared" si="3"/>
        <v>0</v>
      </c>
      <c r="AG8" s="268">
        <f t="shared" si="4"/>
        <v>0</v>
      </c>
      <c r="AH8" s="268">
        <f t="shared" si="5"/>
        <v>0</v>
      </c>
      <c r="AI8" s="198"/>
      <c r="AJ8" s="268">
        <f t="shared" si="6"/>
        <v>0</v>
      </c>
      <c r="AK8" s="268">
        <f t="shared" si="7"/>
        <v>0</v>
      </c>
      <c r="AL8" s="268">
        <f t="shared" si="8"/>
        <v>0</v>
      </c>
      <c r="AM8" s="198"/>
      <c r="AN8" s="268">
        <f t="shared" si="2"/>
        <v>0</v>
      </c>
      <c r="AS8" s="132">
        <v>28481</v>
      </c>
    </row>
    <row r="9" spans="1:45">
      <c r="A9" s="17" t="s">
        <v>5</v>
      </c>
      <c r="B9" s="139" t="str">
        <f>試算シート!F32</f>
        <v/>
      </c>
      <c r="C9" s="139" t="str">
        <f>試算シート!G32</f>
        <v/>
      </c>
      <c r="D9" s="139" t="str">
        <f>試算シート!H32</f>
        <v/>
      </c>
      <c r="E9" s="139">
        <f>試算シート!I32</f>
        <v>0</v>
      </c>
      <c r="F9" s="186">
        <f>IF(E9="",0,IF(E9&gt;=K5,E9-K5,0))</f>
        <v>0</v>
      </c>
      <c r="G9" s="188">
        <f>IF(D9="",0,D9-E9+F9)</f>
        <v>0</v>
      </c>
      <c r="I9" s="344" t="s">
        <v>13</v>
      </c>
      <c r="J9" s="7" t="s">
        <v>18</v>
      </c>
      <c r="K9" s="299">
        <v>3.0200000000000001E-2</v>
      </c>
      <c r="L9" s="131"/>
      <c r="M9" s="135"/>
      <c r="P9" s="10">
        <f>試算シート!F41</f>
        <v>0</v>
      </c>
      <c r="Q9" s="10">
        <f>試算シート!G41</f>
        <v>0</v>
      </c>
      <c r="R9" s="10">
        <f>試算シート!H41</f>
        <v>0</v>
      </c>
      <c r="U9" s="10">
        <f>ROUNDDOWN(P9*K6,0)</f>
        <v>0</v>
      </c>
      <c r="V9" s="10">
        <f>ROUNDDOWN(Q9*K6,0)</f>
        <v>0</v>
      </c>
      <c r="W9" s="10">
        <f>ROUNDDOWN(R9*K6,0)</f>
        <v>0</v>
      </c>
      <c r="Y9" s="10">
        <f>ROUNDDOWN(P9*K9,0)</f>
        <v>0</v>
      </c>
      <c r="Z9" s="10">
        <f>ROUNDDOWN(Q9*K9,0)</f>
        <v>0</v>
      </c>
      <c r="AA9" s="10">
        <f>ROUNDDOWN(R9*K9,0)</f>
        <v>0</v>
      </c>
      <c r="AC9" s="10">
        <f>ROUNDDOWN(Q9*K12,0)</f>
        <v>0</v>
      </c>
      <c r="AF9" s="268">
        <f t="shared" si="3"/>
        <v>0</v>
      </c>
      <c r="AG9" s="268">
        <f t="shared" si="4"/>
        <v>0</v>
      </c>
      <c r="AH9" s="268">
        <f t="shared" si="5"/>
        <v>0</v>
      </c>
      <c r="AI9" s="198"/>
      <c r="AJ9" s="268">
        <f t="shared" si="6"/>
        <v>0</v>
      </c>
      <c r="AK9" s="268">
        <f t="shared" si="7"/>
        <v>0</v>
      </c>
      <c r="AL9" s="268">
        <f t="shared" si="8"/>
        <v>0</v>
      </c>
      <c r="AM9" s="198"/>
      <c r="AN9" s="268">
        <f t="shared" si="2"/>
        <v>0</v>
      </c>
      <c r="AS9" s="133">
        <v>2.8000000000000001E-2</v>
      </c>
    </row>
    <row r="10" spans="1:45">
      <c r="A10" s="2" t="s">
        <v>9</v>
      </c>
      <c r="B10" s="20">
        <f>SUM(B5:B9)</f>
        <v>0</v>
      </c>
      <c r="C10" s="20">
        <f t="shared" ref="C10:D10" si="9">SUM(C5:C9)</f>
        <v>2020000</v>
      </c>
      <c r="D10" s="20">
        <f t="shared" si="9"/>
        <v>0</v>
      </c>
      <c r="E10" s="21"/>
      <c r="F10" s="187"/>
      <c r="G10" s="188">
        <f>SUM(G5:G9)</f>
        <v>0</v>
      </c>
      <c r="I10" s="344"/>
      <c r="J10" s="7" t="s">
        <v>15</v>
      </c>
      <c r="K10" s="300">
        <v>11034</v>
      </c>
      <c r="L10" s="131"/>
      <c r="M10" s="135"/>
      <c r="AS10" s="132">
        <v>9272</v>
      </c>
    </row>
    <row r="11" spans="1:45">
      <c r="A11" s="43" t="s">
        <v>23</v>
      </c>
      <c r="B11" s="163">
        <f>B10</f>
        <v>0</v>
      </c>
      <c r="C11" s="163">
        <f>C10</f>
        <v>2020000</v>
      </c>
      <c r="D11" s="164"/>
      <c r="E11" s="165"/>
      <c r="F11" s="188"/>
      <c r="G11" s="11">
        <f>試算シート!F44</f>
        <v>2020000</v>
      </c>
      <c r="I11" s="344"/>
      <c r="J11" s="7" t="s">
        <v>16</v>
      </c>
      <c r="K11" s="300">
        <v>10761</v>
      </c>
      <c r="L11" s="134" t="s">
        <v>25</v>
      </c>
      <c r="M11" s="302">
        <v>240000</v>
      </c>
      <c r="P11" s="198"/>
      <c r="AS11" s="132">
        <v>9963</v>
      </c>
    </row>
    <row r="12" spans="1:45" ht="14.25" thickBot="1">
      <c r="A12" s="162" t="s">
        <v>10</v>
      </c>
      <c r="B12" s="163">
        <f>SUM(P5:P9)</f>
        <v>0</v>
      </c>
      <c r="C12" s="163">
        <f>SUM(Q5:Q9)</f>
        <v>1590000</v>
      </c>
      <c r="D12" s="164">
        <f>SUM(R5:R9)</f>
        <v>0</v>
      </c>
      <c r="E12" s="165"/>
      <c r="F12" s="166"/>
      <c r="G12" s="190"/>
      <c r="I12" s="361" t="s">
        <v>12</v>
      </c>
      <c r="J12" s="7" t="s">
        <v>18</v>
      </c>
      <c r="K12" s="299">
        <v>2.5600000000000001E-2</v>
      </c>
      <c r="L12" s="131"/>
      <c r="M12" s="135"/>
      <c r="P12" t="s">
        <v>259</v>
      </c>
      <c r="T12" s="245"/>
      <c r="U12" s="245" t="s">
        <v>258</v>
      </c>
      <c r="V12" s="245"/>
      <c r="W12" s="245"/>
      <c r="X12" s="245"/>
      <c r="Y12" s="245" t="s">
        <v>257</v>
      </c>
      <c r="Z12" s="245"/>
      <c r="AA12" s="245"/>
      <c r="AB12" s="245"/>
      <c r="AC12" s="245" t="s">
        <v>256</v>
      </c>
      <c r="AF12" s="245" t="s">
        <v>241</v>
      </c>
      <c r="AG12" s="245"/>
      <c r="AH12" s="245"/>
      <c r="AI12" s="245"/>
      <c r="AJ12" s="245" t="s">
        <v>242</v>
      </c>
      <c r="AK12" s="245"/>
      <c r="AL12" s="245"/>
      <c r="AM12" s="245"/>
      <c r="AN12" s="245" t="s">
        <v>243</v>
      </c>
      <c r="AS12" s="133">
        <v>2.6200000000000001E-2</v>
      </c>
    </row>
    <row r="13" spans="1:45" ht="14.25" thickBot="1">
      <c r="A13" s="362" t="s">
        <v>22</v>
      </c>
      <c r="B13" s="362"/>
      <c r="C13" s="362"/>
      <c r="D13" s="167">
        <f>SUM(B12:D12)</f>
        <v>1590000</v>
      </c>
      <c r="E13" s="169" t="s">
        <v>136</v>
      </c>
      <c r="F13" s="168"/>
      <c r="I13" s="361"/>
      <c r="J13" s="7" t="s">
        <v>15</v>
      </c>
      <c r="K13" s="300">
        <v>18784</v>
      </c>
      <c r="L13" s="134" t="s">
        <v>25</v>
      </c>
      <c r="M13" s="302">
        <v>170000</v>
      </c>
      <c r="P13" t="s">
        <v>250</v>
      </c>
      <c r="Q13" t="s">
        <v>251</v>
      </c>
      <c r="R13" t="s">
        <v>252</v>
      </c>
      <c r="S13" t="s">
        <v>251</v>
      </c>
      <c r="T13" s="245"/>
      <c r="U13" s="245" t="s">
        <v>40</v>
      </c>
      <c r="V13" s="245" t="s">
        <v>41</v>
      </c>
      <c r="W13" s="245" t="s">
        <v>42</v>
      </c>
      <c r="X13" s="245"/>
      <c r="Y13" s="245" t="s">
        <v>40</v>
      </c>
      <c r="Z13" s="245" t="s">
        <v>41</v>
      </c>
      <c r="AA13" s="245" t="s">
        <v>42</v>
      </c>
      <c r="AB13" s="245"/>
      <c r="AC13" s="245" t="s">
        <v>41</v>
      </c>
      <c r="AF13" s="245" t="s">
        <v>40</v>
      </c>
      <c r="AG13" s="245" t="s">
        <v>41</v>
      </c>
      <c r="AH13" s="245" t="s">
        <v>42</v>
      </c>
      <c r="AI13" s="245"/>
      <c r="AJ13" s="245" t="s">
        <v>40</v>
      </c>
      <c r="AK13" s="245" t="s">
        <v>41</v>
      </c>
      <c r="AL13" s="245" t="s">
        <v>42</v>
      </c>
      <c r="AM13" s="245"/>
      <c r="AN13" s="245" t="s">
        <v>41</v>
      </c>
      <c r="AS13" s="132">
        <v>17968</v>
      </c>
    </row>
    <row r="14" spans="1:45">
      <c r="E14" s="190"/>
      <c r="H14" t="s">
        <v>92</v>
      </c>
      <c r="I14" s="38"/>
      <c r="M14" s="51"/>
      <c r="O14" s="13" t="s">
        <v>43</v>
      </c>
      <c r="P14" s="65">
        <f>ROUNDDOWN(G3*K7,0)</f>
        <v>103272</v>
      </c>
      <c r="Q14" s="65">
        <f>ROUNDUP(K7*$U$24,0)*G3</f>
        <v>20655</v>
      </c>
      <c r="R14" s="65">
        <f>ROUNDDOWN(K8,0)</f>
        <v>33574</v>
      </c>
      <c r="S14" s="65">
        <f>ROUNDUP(R14*$U$24,0)</f>
        <v>6715</v>
      </c>
      <c r="T14" s="245"/>
      <c r="U14" s="246">
        <f>IF(B5&lt;&gt;"",$K$7,0)</f>
        <v>0</v>
      </c>
      <c r="V14" s="246">
        <f t="shared" ref="V14:W14" si="10">IF(C5&lt;&gt;"",$K$7,0)</f>
        <v>34424</v>
      </c>
      <c r="W14" s="246">
        <f t="shared" si="10"/>
        <v>0</v>
      </c>
      <c r="X14" s="245"/>
      <c r="Y14" s="246">
        <f>IF(B5&lt;&gt;"",$K$10,0)</f>
        <v>0</v>
      </c>
      <c r="Z14" s="246">
        <f t="shared" ref="Z14:AA14" si="11">IF(C5&lt;&gt;"",$K$10,0)</f>
        <v>11034</v>
      </c>
      <c r="AA14" s="246">
        <f t="shared" si="11"/>
        <v>0</v>
      </c>
      <c r="AB14" s="245"/>
      <c r="AC14" s="246">
        <f>IF(C5&lt;&gt;"",$K$13,0)</f>
        <v>18784</v>
      </c>
      <c r="AF14" s="246">
        <f>ROUNDUP(U14*$U$24,0)</f>
        <v>0</v>
      </c>
      <c r="AG14" s="246">
        <f t="shared" ref="AG14:AH14" si="12">ROUNDUP(V14*$U$24,0)</f>
        <v>6885</v>
      </c>
      <c r="AH14" s="246">
        <f t="shared" si="12"/>
        <v>0</v>
      </c>
      <c r="AI14" s="245"/>
      <c r="AJ14" s="246">
        <f>ROUNDUP(Y14*$U$24,0)</f>
        <v>0</v>
      </c>
      <c r="AK14" s="246">
        <f t="shared" ref="AK14:AN19" si="13">ROUNDUP(Z14*$U$24,0)</f>
        <v>2207</v>
      </c>
      <c r="AL14" s="246">
        <f t="shared" si="13"/>
        <v>0</v>
      </c>
      <c r="AM14" s="245"/>
      <c r="AN14" s="246">
        <f t="shared" si="13"/>
        <v>3757</v>
      </c>
    </row>
    <row r="15" spans="1:45">
      <c r="B15" s="24" t="s">
        <v>11</v>
      </c>
      <c r="C15" s="87" t="s">
        <v>13</v>
      </c>
      <c r="D15" s="23" t="s">
        <v>12</v>
      </c>
      <c r="E15" s="98"/>
      <c r="F15" s="40"/>
      <c r="H15" t="s">
        <v>88</v>
      </c>
      <c r="I15" s="363" t="s">
        <v>21</v>
      </c>
      <c r="J15" s="8">
        <v>0.7</v>
      </c>
      <c r="K15" s="47">
        <f>K4+((P24-1)*100000)</f>
        <v>430000</v>
      </c>
      <c r="M15" s="51"/>
      <c r="O15" s="13" t="s">
        <v>44</v>
      </c>
      <c r="P15" s="65">
        <f>ROUNDDOWN(G3*K10,0)</f>
        <v>33102</v>
      </c>
      <c r="Q15" s="65">
        <f>ROUNDUP(K10*$U$24,0)*G3</f>
        <v>6621</v>
      </c>
      <c r="R15" s="65">
        <f>ROUNDDOWN(K11,0)</f>
        <v>10761</v>
      </c>
      <c r="S15" s="65">
        <f>ROUNDUP(R15*$U$24,0)</f>
        <v>2153</v>
      </c>
      <c r="T15" s="245"/>
      <c r="U15" s="246">
        <f t="shared" ref="U15:U18" si="14">IF(B6&lt;&gt;"",$K$7,0)</f>
        <v>0</v>
      </c>
      <c r="V15" s="246">
        <f t="shared" ref="V15:V18" si="15">IF(C6&lt;&gt;"",$K$7,0)</f>
        <v>34424</v>
      </c>
      <c r="W15" s="246">
        <f t="shared" ref="W15:W18" si="16">IF(D6&lt;&gt;"",$K$7,0)</f>
        <v>0</v>
      </c>
      <c r="X15" s="245"/>
      <c r="Y15" s="246">
        <f t="shared" ref="Y15:Y18" si="17">IF(B6&lt;&gt;"",$K$10,0)</f>
        <v>0</v>
      </c>
      <c r="Z15" s="246">
        <f t="shared" ref="Z15:Z18" si="18">IF(C6&lt;&gt;"",$K$10,0)</f>
        <v>11034</v>
      </c>
      <c r="AA15" s="246">
        <f t="shared" ref="AA15:AA18" si="19">IF(D6&lt;&gt;"",$K$10,0)</f>
        <v>0</v>
      </c>
      <c r="AB15" s="245"/>
      <c r="AC15" s="246">
        <f t="shared" ref="AC15:AC18" si="20">IF(C6&lt;&gt;"",$K$13,0)</f>
        <v>18784</v>
      </c>
      <c r="AF15" s="246">
        <f t="shared" ref="AF15:AF19" si="21">ROUNDUP(U15*$U$24,0)</f>
        <v>0</v>
      </c>
      <c r="AG15" s="246">
        <f t="shared" ref="AG15:AG18" si="22">ROUNDUP(V15*$U$24,0)</f>
        <v>6885</v>
      </c>
      <c r="AH15" s="246">
        <f t="shared" ref="AH15:AH18" si="23">ROUNDUP(W15*$U$24,0)</f>
        <v>0</v>
      </c>
      <c r="AI15" s="245"/>
      <c r="AJ15" s="246">
        <f t="shared" ref="AJ15:AJ19" si="24">ROUNDUP(Y15*$U$24,0)</f>
        <v>0</v>
      </c>
      <c r="AK15" s="246">
        <f t="shared" ref="AK15:AK19" si="25">ROUNDUP(Z15*$U$24,0)</f>
        <v>2207</v>
      </c>
      <c r="AL15" s="246">
        <f t="shared" ref="AL15:AL19" si="26">ROUNDUP(AA15*$U$24,0)</f>
        <v>0</v>
      </c>
      <c r="AM15" s="245"/>
      <c r="AN15" s="246">
        <f t="shared" si="13"/>
        <v>3757</v>
      </c>
    </row>
    <row r="16" spans="1:45" ht="13.5" customHeight="1">
      <c r="A16" s="17" t="s">
        <v>14</v>
      </c>
      <c r="B16" s="45">
        <f>AG33</f>
        <v>147870</v>
      </c>
      <c r="C16" s="95">
        <f>AH33</f>
        <v>48018</v>
      </c>
      <c r="D16" s="46">
        <f>AI33</f>
        <v>40704</v>
      </c>
      <c r="E16" s="359" t="s">
        <v>279</v>
      </c>
      <c r="F16" s="359"/>
      <c r="G16" s="90"/>
      <c r="H16" t="s">
        <v>90</v>
      </c>
      <c r="I16" s="363"/>
      <c r="J16" s="8">
        <v>0.5</v>
      </c>
      <c r="K16" s="47">
        <f>K4+(M16*G3)+((P24-1)*100000)</f>
        <v>1345000</v>
      </c>
      <c r="L16" s="2" t="s">
        <v>28</v>
      </c>
      <c r="M16" s="301">
        <v>305000</v>
      </c>
      <c r="O16" s="13" t="s">
        <v>45</v>
      </c>
      <c r="P16" s="65">
        <f>ROUNDDOWN(C3*K13,0)</f>
        <v>37568</v>
      </c>
      <c r="Q16" s="65">
        <f>ROUNDUP(K13*$U$24,0)*C3</f>
        <v>7514</v>
      </c>
      <c r="R16" s="68"/>
      <c r="S16" s="68"/>
      <c r="T16" s="245"/>
      <c r="U16" s="246">
        <f t="shared" si="14"/>
        <v>34424</v>
      </c>
      <c r="V16" s="246">
        <f t="shared" si="15"/>
        <v>0</v>
      </c>
      <c r="W16" s="246">
        <f t="shared" si="16"/>
        <v>0</v>
      </c>
      <c r="X16" s="245"/>
      <c r="Y16" s="246">
        <f t="shared" si="17"/>
        <v>11034</v>
      </c>
      <c r="Z16" s="246">
        <f t="shared" si="18"/>
        <v>0</v>
      </c>
      <c r="AA16" s="246">
        <f t="shared" si="19"/>
        <v>0</v>
      </c>
      <c r="AB16" s="245"/>
      <c r="AC16" s="246">
        <f t="shared" si="20"/>
        <v>0</v>
      </c>
      <c r="AF16" s="246">
        <f t="shared" si="21"/>
        <v>6885</v>
      </c>
      <c r="AG16" s="246">
        <f t="shared" si="22"/>
        <v>0</v>
      </c>
      <c r="AH16" s="246">
        <f t="shared" si="23"/>
        <v>0</v>
      </c>
      <c r="AI16" s="245"/>
      <c r="AJ16" s="246">
        <f t="shared" si="24"/>
        <v>2207</v>
      </c>
      <c r="AK16" s="246">
        <f t="shared" si="25"/>
        <v>0</v>
      </c>
      <c r="AL16" s="246">
        <f t="shared" si="26"/>
        <v>0</v>
      </c>
      <c r="AM16" s="245"/>
      <c r="AN16" s="246">
        <f t="shared" si="13"/>
        <v>0</v>
      </c>
    </row>
    <row r="17" spans="1:40" ht="14.25" customHeight="1">
      <c r="A17" s="92" t="s">
        <v>81</v>
      </c>
      <c r="B17" s="93">
        <f>AG40</f>
        <v>0</v>
      </c>
      <c r="C17" s="59">
        <f>AH40</f>
        <v>0</v>
      </c>
      <c r="D17" s="88">
        <f>AI40</f>
        <v>0</v>
      </c>
      <c r="E17" s="360">
        <f>SUM(B17:D17)</f>
        <v>0</v>
      </c>
      <c r="F17" s="360"/>
      <c r="G17" s="91"/>
      <c r="H17" t="s">
        <v>89</v>
      </c>
      <c r="I17" s="363"/>
      <c r="J17" s="8">
        <v>0.2</v>
      </c>
      <c r="K17" s="47">
        <f>K4+(M17*G3)+((P24-1)*100000)</f>
        <v>2110000</v>
      </c>
      <c r="L17" s="2" t="s">
        <v>28</v>
      </c>
      <c r="M17" s="301">
        <v>560000</v>
      </c>
      <c r="T17" s="245"/>
      <c r="U17" s="246">
        <f t="shared" si="14"/>
        <v>0</v>
      </c>
      <c r="V17" s="246">
        <f t="shared" si="15"/>
        <v>0</v>
      </c>
      <c r="W17" s="246">
        <f t="shared" si="16"/>
        <v>0</v>
      </c>
      <c r="X17" s="245"/>
      <c r="Y17" s="246">
        <f t="shared" si="17"/>
        <v>0</v>
      </c>
      <c r="Z17" s="246">
        <f t="shared" si="18"/>
        <v>0</v>
      </c>
      <c r="AA17" s="246">
        <f t="shared" si="19"/>
        <v>0</v>
      </c>
      <c r="AB17" s="245"/>
      <c r="AC17" s="246">
        <f t="shared" si="20"/>
        <v>0</v>
      </c>
      <c r="AF17" s="246">
        <f t="shared" si="21"/>
        <v>0</v>
      </c>
      <c r="AG17" s="246">
        <f t="shared" si="22"/>
        <v>0</v>
      </c>
      <c r="AH17" s="246">
        <f t="shared" si="23"/>
        <v>0</v>
      </c>
      <c r="AI17" s="245"/>
      <c r="AJ17" s="246">
        <f t="shared" si="24"/>
        <v>0</v>
      </c>
      <c r="AK17" s="246">
        <f t="shared" si="25"/>
        <v>0</v>
      </c>
      <c r="AL17" s="246">
        <f t="shared" si="26"/>
        <v>0</v>
      </c>
      <c r="AM17" s="245"/>
      <c r="AN17" s="246">
        <f t="shared" si="13"/>
        <v>0</v>
      </c>
    </row>
    <row r="18" spans="1:40">
      <c r="A18" s="17" t="s">
        <v>15</v>
      </c>
      <c r="B18" s="45">
        <f>AG34-AG37-AG39</f>
        <v>68847</v>
      </c>
      <c r="C18" s="95">
        <f>AH34-AH37-AH39</f>
        <v>22067</v>
      </c>
      <c r="D18" s="94">
        <f>AI34-AI37</f>
        <v>30054</v>
      </c>
      <c r="E18" t="s">
        <v>83</v>
      </c>
      <c r="G18" s="90"/>
      <c r="H18" t="s">
        <v>91</v>
      </c>
      <c r="I18" s="361"/>
      <c r="J18" s="22">
        <v>0</v>
      </c>
      <c r="K18" s="48">
        <f>K17+1</f>
        <v>2110001</v>
      </c>
      <c r="T18" s="245"/>
      <c r="U18" s="246">
        <f t="shared" si="14"/>
        <v>0</v>
      </c>
      <c r="V18" s="246">
        <f t="shared" si="15"/>
        <v>0</v>
      </c>
      <c r="W18" s="246">
        <f t="shared" si="16"/>
        <v>0</v>
      </c>
      <c r="X18" s="245"/>
      <c r="Y18" s="246">
        <f t="shared" si="17"/>
        <v>0</v>
      </c>
      <c r="Z18" s="246">
        <f t="shared" si="18"/>
        <v>0</v>
      </c>
      <c r="AA18" s="246">
        <f t="shared" si="19"/>
        <v>0</v>
      </c>
      <c r="AB18" s="245"/>
      <c r="AC18" s="246">
        <f t="shared" si="20"/>
        <v>0</v>
      </c>
      <c r="AF18" s="246">
        <f t="shared" si="21"/>
        <v>0</v>
      </c>
      <c r="AG18" s="246">
        <f t="shared" si="22"/>
        <v>0</v>
      </c>
      <c r="AH18" s="246">
        <f t="shared" si="23"/>
        <v>0</v>
      </c>
      <c r="AI18" s="245"/>
      <c r="AJ18" s="246">
        <f t="shared" si="24"/>
        <v>0</v>
      </c>
      <c r="AK18" s="246">
        <f t="shared" si="25"/>
        <v>0</v>
      </c>
      <c r="AL18" s="246">
        <f t="shared" si="26"/>
        <v>0</v>
      </c>
      <c r="AM18" s="245"/>
      <c r="AN18" s="246">
        <f t="shared" si="13"/>
        <v>0</v>
      </c>
    </row>
    <row r="19" spans="1:40">
      <c r="A19" s="17" t="s">
        <v>16</v>
      </c>
      <c r="B19" s="45">
        <f>AG35-AG38</f>
        <v>26859</v>
      </c>
      <c r="C19" s="95">
        <f>AH35-AH38</f>
        <v>8608</v>
      </c>
      <c r="D19" s="109"/>
      <c r="E19" t="s">
        <v>83</v>
      </c>
      <c r="G19" s="90"/>
      <c r="I19" s="5"/>
      <c r="J19" s="9"/>
      <c r="M19" s="55" t="s">
        <v>48</v>
      </c>
      <c r="P19" t="s">
        <v>94</v>
      </c>
      <c r="T19" s="283" t="s">
        <v>265</v>
      </c>
      <c r="U19" s="284">
        <f>IF((A2+B2)&gt;COUNT(B5:B9),(A2+B2-COUNT(B5:B9))*$K$7,0)</f>
        <v>0</v>
      </c>
      <c r="V19" s="284">
        <f>IF(C2&gt;COUNT(C5:C9),(C2-COUNT(C5:C9))*$K$7,0)</f>
        <v>0</v>
      </c>
      <c r="W19" s="284">
        <f>IF(D2&gt;COUNT(D5:D9),(D2-COUNT(D5:D9))*$K$7,0)</f>
        <v>0</v>
      </c>
      <c r="X19" s="283" t="s">
        <v>265</v>
      </c>
      <c r="Y19" s="284">
        <f>IF((A2+B2)&gt;COUNT(B5:B9),(A2+B2-COUNT(B5:B9))*$K$10,0)</f>
        <v>0</v>
      </c>
      <c r="Z19" s="284">
        <f>IF(C2&gt;COUNT(C5:C9),(C2-COUNT(C5:C9))*$K$10,0)</f>
        <v>0</v>
      </c>
      <c r="AA19" s="284">
        <f>IF(D2&gt;COUNT(D5:D9),(D2-COUNT(D5:D9))*$K$10,0)</f>
        <v>0</v>
      </c>
      <c r="AB19" s="283" t="s">
        <v>265</v>
      </c>
      <c r="AC19" s="284">
        <f>IF(C2&gt;COUNT(C5:C9),(C2-COUNT(C5:C9))*$K$13,0)</f>
        <v>0</v>
      </c>
      <c r="AF19" s="281">
        <f t="shared" si="21"/>
        <v>0</v>
      </c>
      <c r="AJ19" s="281">
        <f t="shared" si="24"/>
        <v>0</v>
      </c>
      <c r="AK19" s="281">
        <f t="shared" si="25"/>
        <v>0</v>
      </c>
      <c r="AL19" s="281">
        <f t="shared" si="26"/>
        <v>0</v>
      </c>
      <c r="AN19" s="281">
        <f t="shared" si="13"/>
        <v>0</v>
      </c>
    </row>
    <row r="20" spans="1:40" ht="14.25" thickBot="1">
      <c r="A20" s="115" t="s">
        <v>86</v>
      </c>
      <c r="B20" s="116">
        <f>AG41</f>
        <v>0</v>
      </c>
      <c r="C20" s="116">
        <f>AH41</f>
        <v>0</v>
      </c>
      <c r="D20" s="116">
        <f>AI41</f>
        <v>0</v>
      </c>
      <c r="E20" s="97"/>
      <c r="F20" s="89"/>
      <c r="G20" s="89"/>
      <c r="H20" s="4"/>
      <c r="J20" s="13"/>
      <c r="L20" s="209" t="s">
        <v>202</v>
      </c>
      <c r="M20" s="15"/>
      <c r="P20" t="s">
        <v>95</v>
      </c>
      <c r="Q20" t="s">
        <v>96</v>
      </c>
      <c r="R20" t="s">
        <v>97</v>
      </c>
      <c r="T20" s="245"/>
      <c r="U20" s="245"/>
      <c r="V20" s="247"/>
      <c r="W20" s="245"/>
      <c r="X20" s="245"/>
      <c r="Y20" s="245"/>
      <c r="Z20" s="247" t="s">
        <v>264</v>
      </c>
      <c r="AA20" s="245"/>
      <c r="AB20" s="245"/>
      <c r="AC20" s="247" t="s">
        <v>264</v>
      </c>
    </row>
    <row r="21" spans="1:40" ht="14.25" thickTop="1">
      <c r="A21" s="113" t="s">
        <v>82</v>
      </c>
      <c r="B21" s="114">
        <f>ROUNDDOWN(IF((B16-B17+B18+B19)&lt;(M8*G25/12),(B16-B17+B18+B19),M8*G25/12),0)</f>
        <v>243576</v>
      </c>
      <c r="C21" s="114">
        <f>ROUNDDOWN(IF((C16-C17+C18+C19)&lt;(M11*G25/12),(C16-C17+C18+C19),M11*G25/12),0)</f>
        <v>78693</v>
      </c>
      <c r="D21" s="114">
        <f>ROUNDDOWN(IF((D16-D17+D18+D19)&lt;(M13*G25/12),(D16-D17+D18+D19),M13*G25/12),0)</f>
        <v>70758</v>
      </c>
      <c r="E21" s="108"/>
      <c r="F21" s="89"/>
      <c r="G21" s="89"/>
      <c r="H21" s="198" t="s">
        <v>200</v>
      </c>
      <c r="J21" s="13"/>
      <c r="L21" s="210" t="s">
        <v>24</v>
      </c>
      <c r="M21" s="44">
        <f>B10+C10+D10</f>
        <v>2020000</v>
      </c>
      <c r="P21" s="39">
        <f>IF((B16+B18+B19)&gt;M8*G25/12,B16+B18+B19-ROUNDDOWN(M8*G25/12,0),0)</f>
        <v>0</v>
      </c>
      <c r="Q21" s="39">
        <f>IF((C16+C18+C19)&gt;M11*G25/12,C16+C18+C19-ROUNDDOWN(M11*G25/12,0),0)</f>
        <v>0</v>
      </c>
      <c r="R21" s="39">
        <f>IF((D16+D18)&gt;M13*G25/12,D16+D18-ROUNDDOWN(M13*G25/12,0),0)</f>
        <v>0</v>
      </c>
    </row>
    <row r="22" spans="1:40" ht="14.25" thickBot="1">
      <c r="B22" s="96"/>
      <c r="C22" s="70"/>
      <c r="D22" s="358"/>
      <c r="E22" s="358"/>
      <c r="G22" s="3"/>
      <c r="J22" s="13"/>
      <c r="L22" s="13" t="s">
        <v>26</v>
      </c>
      <c r="M22" s="14" t="str">
        <f>IF(OR(M20="",M21&lt;=M20),"",ROUNDDOWN(1-M20/M21,2))</f>
        <v/>
      </c>
    </row>
    <row r="23" spans="1:40" ht="14.25" thickBot="1">
      <c r="E23" s="345" t="s">
        <v>20</v>
      </c>
      <c r="F23" s="346"/>
      <c r="G23" s="304">
        <f>SUM(B21:D21)</f>
        <v>393027</v>
      </c>
      <c r="H23" t="s">
        <v>93</v>
      </c>
      <c r="L23" s="13" t="s">
        <v>27</v>
      </c>
      <c r="M23" s="14" t="str">
        <f>IF(M22="","",IF(ROUNDDOWN(M22,1)&lt;0.3,0,ROUNDDOWN(M22,1)))</f>
        <v/>
      </c>
      <c r="P23" s="198" t="s">
        <v>102</v>
      </c>
      <c r="U23" s="198" t="s">
        <v>204</v>
      </c>
      <c r="X23" s="198"/>
      <c r="Y23" s="198" t="s">
        <v>267</v>
      </c>
      <c r="Z23" s="295"/>
      <c r="AA23" s="295"/>
      <c r="AB23" s="131"/>
      <c r="AC23" s="198" t="s">
        <v>269</v>
      </c>
      <c r="AD23" s="131"/>
      <c r="AE23" s="131"/>
      <c r="AF23" s="131" t="s">
        <v>268</v>
      </c>
      <c r="AG23" s="295"/>
      <c r="AH23" s="6"/>
      <c r="AI23" s="6"/>
      <c r="AJ23" s="6"/>
      <c r="AN23" s="245" t="s">
        <v>244</v>
      </c>
    </row>
    <row r="24" spans="1:40">
      <c r="A24" s="356" t="s">
        <v>30</v>
      </c>
      <c r="B24" s="357"/>
      <c r="C24" s="139">
        <f>試算シート!F33</f>
        <v>0</v>
      </c>
      <c r="E24" s="12"/>
      <c r="F24" s="12"/>
      <c r="I24" s="3" t="s">
        <v>11</v>
      </c>
      <c r="J24" s="3" t="s">
        <v>13</v>
      </c>
      <c r="K24" s="3" t="s">
        <v>12</v>
      </c>
      <c r="L24" s="62"/>
      <c r="M24" s="123"/>
      <c r="P24" s="204">
        <f>IF(SUM(試算シート!U20:U25)&gt;1,SUM(試算シート!U20:U25),1)</f>
        <v>1</v>
      </c>
      <c r="U24" s="204">
        <f>IF(G27="",IF($G$11&lt;=$K$15,0.7,IF($G$11&lt;=$K$16,0.5,IF($G$11&lt;=$K$17,0.2,0))),G27/10)</f>
        <v>0.2</v>
      </c>
      <c r="X24" s="210"/>
      <c r="Y24" s="204">
        <f>IF(A2="",試算シート!G51,A2)</f>
        <v>1</v>
      </c>
      <c r="Z24" s="295"/>
      <c r="AA24" s="295"/>
      <c r="AB24" s="210" t="s">
        <v>43</v>
      </c>
      <c r="AC24" s="296">
        <f>ROUNDUP((K7-ROUNDUP(K7*U24,0))/2,0)</f>
        <v>13770</v>
      </c>
      <c r="AD24" s="131"/>
      <c r="AE24" s="210" t="s">
        <v>43</v>
      </c>
      <c r="AF24" s="296">
        <f>AC24*$Y$24</f>
        <v>13770</v>
      </c>
      <c r="AG24" s="295"/>
      <c r="AH24" s="6"/>
      <c r="AI24" s="6"/>
      <c r="AJ24" s="6"/>
      <c r="AK24" s="6"/>
      <c r="AL24" s="6"/>
      <c r="AN24" s="247"/>
    </row>
    <row r="25" spans="1:40">
      <c r="A25" s="344" t="s">
        <v>98</v>
      </c>
      <c r="B25" s="344"/>
      <c r="C25" s="140">
        <f>試算シート!F34</f>
        <v>0</v>
      </c>
      <c r="D25" s="191">
        <f>IF(C24="",0,C24-C25+(IF(C25&gt;=$K$5,C25-$K$5,0)))</f>
        <v>0</v>
      </c>
      <c r="E25" s="12"/>
      <c r="F25" s="82" t="s">
        <v>80</v>
      </c>
      <c r="G25" s="57">
        <v>12</v>
      </c>
      <c r="H25" s="13" t="s">
        <v>14</v>
      </c>
      <c r="I25" s="125"/>
      <c r="J25" s="125"/>
      <c r="K25" s="125"/>
      <c r="M25" s="124"/>
      <c r="X25" s="210"/>
      <c r="Y25" s="297"/>
      <c r="Z25" s="297"/>
      <c r="AA25" s="297"/>
      <c r="AB25" s="210" t="s">
        <v>44</v>
      </c>
      <c r="AC25" s="296">
        <f>ROUNDUP((K10-ROUNDUP(K10*U24,0))/2,0)</f>
        <v>4414</v>
      </c>
      <c r="AD25" s="131"/>
      <c r="AE25" s="210" t="s">
        <v>44</v>
      </c>
      <c r="AF25" s="296">
        <f>AC25*$Y$24</f>
        <v>4414</v>
      </c>
      <c r="AG25" s="297"/>
      <c r="AH25" s="243"/>
      <c r="AI25" s="6"/>
      <c r="AJ25" s="243"/>
      <c r="AK25" s="243"/>
      <c r="AL25" s="243"/>
      <c r="AN25" s="246"/>
    </row>
    <row r="26" spans="1:40">
      <c r="B26" s="16"/>
      <c r="E26" s="12"/>
      <c r="F26" s="12"/>
      <c r="H26" s="13" t="s">
        <v>15</v>
      </c>
      <c r="I26" s="125"/>
      <c r="J26" s="125"/>
      <c r="K26" s="125"/>
      <c r="O26" s="225"/>
      <c r="P26" s="226"/>
      <c r="Q26" s="226"/>
      <c r="R26" s="226"/>
      <c r="S26" s="226"/>
      <c r="T26" s="226"/>
      <c r="U26" s="226"/>
      <c r="V26" s="226"/>
      <c r="W26" s="226"/>
      <c r="X26" s="226"/>
      <c r="Y26" s="243"/>
      <c r="Z26" s="243"/>
      <c r="AA26" s="243"/>
      <c r="AF26" s="243"/>
      <c r="AG26" s="243"/>
      <c r="AH26" s="243"/>
      <c r="AI26" s="6"/>
      <c r="AJ26" s="243"/>
      <c r="AK26" s="243"/>
      <c r="AL26" s="243"/>
      <c r="AN26" s="247"/>
    </row>
    <row r="27" spans="1:40">
      <c r="A27" s="53" t="s">
        <v>50</v>
      </c>
      <c r="B27" s="52" t="s">
        <v>31</v>
      </c>
      <c r="C27" s="54" t="s">
        <v>49</v>
      </c>
      <c r="E27" s="40"/>
      <c r="F27" s="212" t="s">
        <v>201</v>
      </c>
      <c r="G27" s="211"/>
      <c r="H27" s="13" t="s">
        <v>16</v>
      </c>
      <c r="I27" s="125"/>
      <c r="J27" s="125"/>
      <c r="K27" s="126"/>
      <c r="O27" s="225"/>
      <c r="P27" s="226"/>
      <c r="Q27" s="226"/>
      <c r="R27" s="226"/>
      <c r="S27" s="226"/>
      <c r="T27" s="226"/>
      <c r="U27" s="226"/>
      <c r="V27" s="226"/>
      <c r="W27" s="226"/>
      <c r="X27" s="226"/>
      <c r="Y27" s="243"/>
      <c r="Z27" s="243"/>
      <c r="AA27" s="243"/>
      <c r="AF27" s="243"/>
      <c r="AG27" s="243"/>
      <c r="AH27" s="243"/>
      <c r="AI27" s="6"/>
      <c r="AJ27" s="243"/>
      <c r="AK27" s="243"/>
      <c r="AL27" s="243"/>
      <c r="AN27" s="247" t="s">
        <v>245</v>
      </c>
    </row>
    <row r="28" spans="1:40">
      <c r="A28" s="55" t="s">
        <v>50</v>
      </c>
      <c r="B28" s="131" t="s">
        <v>182</v>
      </c>
      <c r="C28" s="54"/>
      <c r="E28" s="6"/>
      <c r="F28" s="6"/>
      <c r="G28" s="213" t="s">
        <v>203</v>
      </c>
      <c r="N28" s="298" t="s">
        <v>287</v>
      </c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43"/>
      <c r="Z28" s="243"/>
      <c r="AA28" s="243"/>
      <c r="AF28" s="243"/>
      <c r="AG28" s="243"/>
      <c r="AH28" s="243"/>
      <c r="AI28" s="6"/>
      <c r="AJ28" s="243"/>
      <c r="AK28" s="243"/>
      <c r="AL28" s="243"/>
      <c r="AN28" s="247"/>
    </row>
    <row r="29" spans="1:40">
      <c r="A29" s="83"/>
      <c r="B29" s="84"/>
      <c r="D29" s="85" t="str">
        <f>IF(AND(SUM(B5:D9)=0,J46=0,K46=0),"",IF(SUMIF(B5:D9,K46)+SUMIF(C24,K46)=0,"コロナ減免の判定所得と一致する者が、上の計算シート内にいません！",""))</f>
        <v/>
      </c>
      <c r="H29" s="78"/>
      <c r="I29" s="78" t="str">
        <f>IF(OR(AND(G23=0,G43=0),G23=G43),"",IF(G23&lt;G43,"↑条例減免の方が保険料が安い",""))</f>
        <v/>
      </c>
      <c r="N29" s="128"/>
      <c r="O29" s="225"/>
      <c r="P29" s="226"/>
      <c r="Q29" s="226"/>
      <c r="R29" s="226"/>
      <c r="S29" s="226"/>
      <c r="T29" s="226"/>
      <c r="U29" s="226"/>
      <c r="V29" s="226"/>
      <c r="W29" s="226"/>
      <c r="X29" s="226"/>
      <c r="Y29" s="243"/>
      <c r="Z29" s="282"/>
      <c r="AA29" s="282"/>
      <c r="AF29" s="243"/>
      <c r="AG29" s="243"/>
      <c r="AH29" s="243"/>
      <c r="AI29" s="6"/>
      <c r="AJ29" s="243"/>
      <c r="AK29" s="243"/>
      <c r="AL29" s="243"/>
      <c r="AN29" s="246"/>
    </row>
    <row r="30" spans="1:40">
      <c r="A30" s="71"/>
      <c r="B30" s="72"/>
      <c r="C30" s="72"/>
      <c r="D30" s="72"/>
      <c r="E30" s="72"/>
      <c r="F30" s="72"/>
      <c r="G30" s="72"/>
      <c r="H30" s="79"/>
      <c r="I30" s="79" t="str">
        <f>IF(OR(AND(G23=0,G43=0),G23=G43),"",IF(G23&gt;=G43,"↓コロナ減免の方が保険料が安い",""))</f>
        <v/>
      </c>
      <c r="J30" s="72"/>
      <c r="K30" s="72"/>
      <c r="L30" s="72"/>
      <c r="M30" s="72"/>
      <c r="O30" s="225"/>
      <c r="P30" s="226"/>
      <c r="Q30" s="226"/>
      <c r="R30" s="226"/>
      <c r="S30" s="226"/>
      <c r="T30" s="226"/>
      <c r="U30" s="226"/>
      <c r="V30" s="226"/>
      <c r="W30" s="226"/>
      <c r="X30" s="226"/>
      <c r="Y30" s="6"/>
      <c r="Z30" s="6"/>
      <c r="AA30" s="6"/>
    </row>
    <row r="31" spans="1:40" ht="14.25" thickBot="1">
      <c r="A31" s="64"/>
      <c r="B31" s="6"/>
      <c r="C31" s="6"/>
      <c r="D31" s="6"/>
      <c r="E31" s="6"/>
      <c r="F31" s="6"/>
      <c r="G31" s="6"/>
      <c r="H31" s="6"/>
      <c r="I31" s="6"/>
      <c r="J31" s="6"/>
      <c r="K31" s="6"/>
      <c r="M31" s="62" t="s">
        <v>51</v>
      </c>
      <c r="W31" s="226"/>
      <c r="X31" s="226"/>
      <c r="AG31" s="198" t="s">
        <v>280</v>
      </c>
    </row>
    <row r="32" spans="1:40">
      <c r="A32" s="38"/>
      <c r="B32" s="13" t="s">
        <v>73</v>
      </c>
      <c r="C32" s="38"/>
      <c r="D32" s="3" t="s">
        <v>70</v>
      </c>
      <c r="E32" s="62"/>
      <c r="F32" s="63" t="s">
        <v>71</v>
      </c>
      <c r="G32" s="63"/>
      <c r="M32" s="13" t="s">
        <v>79</v>
      </c>
      <c r="S32" s="13" t="s">
        <v>62</v>
      </c>
      <c r="T32" s="1">
        <f>IF(SUM(K41:K45)&gt;10000000,0,1)</f>
        <v>1</v>
      </c>
      <c r="U32" t="s">
        <v>65</v>
      </c>
      <c r="W32" s="226"/>
      <c r="X32" s="340" t="s">
        <v>260</v>
      </c>
      <c r="Y32" s="340"/>
      <c r="Z32" s="234" t="s">
        <v>11</v>
      </c>
      <c r="AA32" s="234" t="s">
        <v>13</v>
      </c>
      <c r="AB32" s="234" t="s">
        <v>12</v>
      </c>
      <c r="AC32" s="235"/>
      <c r="AD32" s="339" t="s">
        <v>276</v>
      </c>
      <c r="AE32" s="339"/>
      <c r="AF32" s="277" t="s">
        <v>225</v>
      </c>
      <c r="AG32" s="278" t="s">
        <v>11</v>
      </c>
      <c r="AH32" s="279" t="s">
        <v>13</v>
      </c>
      <c r="AI32" s="279" t="s">
        <v>12</v>
      </c>
      <c r="AJ32" s="73"/>
      <c r="AK32" s="285" t="s">
        <v>272</v>
      </c>
      <c r="AL32" s="285" t="s">
        <v>273</v>
      </c>
      <c r="AM32" s="285" t="s">
        <v>274</v>
      </c>
      <c r="AN32" s="286" t="s">
        <v>275</v>
      </c>
    </row>
    <row r="33" spans="1:40">
      <c r="A33"/>
      <c r="B33" s="39">
        <f>ROUNDDOWN(IF((B16+B18+B19)&lt;(M8*G25/12),(B16+B18+B19),M8*G25/12),0)+ROUNDDOWN(IF((C16+C18+C19)&lt;(M11*G25/12),(C16+C18+C19),M11*G25/12),0)+ROUNDDOWN(IF((D16+D18+D19)&lt;(M13*G25/12),(D16+D18+D19),M13*G25/12),0)</f>
        <v>393027</v>
      </c>
      <c r="C33" s="3" t="s">
        <v>68</v>
      </c>
      <c r="D33" s="65">
        <f>SUM(Q41:Q44)</f>
        <v>0</v>
      </c>
      <c r="E33" s="64" t="s">
        <v>69</v>
      </c>
      <c r="F33" s="365">
        <f>IF(O37=0,SUM(B5:D9)+C24,SUM(B5:D9))</f>
        <v>2020000</v>
      </c>
      <c r="G33" s="366"/>
      <c r="L33" s="298"/>
      <c r="M33" s="298" t="str">
        <f>IF(M34="○","死亡・重篤の場合は別途、保険年金電算システム端末のエクセル入力をお願いします。","")</f>
        <v/>
      </c>
      <c r="S33" s="13" t="s">
        <v>61</v>
      </c>
      <c r="T33" s="1">
        <f>IF(SUM(O41:O44)&gt;0,1,0)</f>
        <v>0</v>
      </c>
      <c r="U33" t="s">
        <v>65</v>
      </c>
      <c r="W33" s="226"/>
      <c r="X33" s="236"/>
      <c r="Y33" s="237" t="s">
        <v>228</v>
      </c>
      <c r="Z33" s="238">
        <f>IF(I25="",SUM(U5:W9)*G25/12,I25)</f>
        <v>147870</v>
      </c>
      <c r="AA33" s="238">
        <f>IF(J25="",SUM(Y5:AA9)*G25/12,J25)</f>
        <v>48018</v>
      </c>
      <c r="AB33" s="238">
        <f>IF(K25="",SUM(AC5:AC9)*G25/12,K25)</f>
        <v>40704</v>
      </c>
      <c r="AC33" s="234" t="s">
        <v>240</v>
      </c>
      <c r="AD33" s="269"/>
      <c r="AE33" s="270" t="s">
        <v>228</v>
      </c>
      <c r="AF33" s="261">
        <f>SUM(AG33:AI33)</f>
        <v>236592</v>
      </c>
      <c r="AG33" s="257">
        <f>IF(Z33&lt;1,0,AK33)</f>
        <v>147870</v>
      </c>
      <c r="AH33" s="251">
        <f>IF(AA33&lt;1,0,AL33)</f>
        <v>48018</v>
      </c>
      <c r="AI33" s="251">
        <f>IF(AB33&lt;1,0,AM33)</f>
        <v>40704</v>
      </c>
      <c r="AJ33" s="73"/>
      <c r="AK33" s="287">
        <f>AG44+AG41+AK40+AG39+AG38+AG37-AG35-AK34</f>
        <v>147870</v>
      </c>
      <c r="AL33" s="287">
        <f>AH44+AH41+AL40+AH39+AH38+AH37-AH35-AL34</f>
        <v>48018</v>
      </c>
      <c r="AM33" s="287">
        <f>AI44+AI41+AM40+AI37-AM34</f>
        <v>40704</v>
      </c>
      <c r="AN33" s="235"/>
    </row>
    <row r="34" spans="1:40">
      <c r="A34" s="38"/>
      <c r="F34" s="364" t="s">
        <v>68</v>
      </c>
      <c r="G34" s="364"/>
      <c r="L34" s="13" t="s">
        <v>66</v>
      </c>
      <c r="M34" s="74" t="s">
        <v>39</v>
      </c>
      <c r="N34" s="6"/>
      <c r="O34">
        <f>IF(M34="○",1,0)</f>
        <v>0</v>
      </c>
      <c r="Q34" s="6"/>
      <c r="R34" s="6"/>
      <c r="S34" s="13" t="s">
        <v>63</v>
      </c>
      <c r="T34" s="1">
        <f>IF(SUM(P41:P45)&gt;4000000,0,1)</f>
        <v>1</v>
      </c>
      <c r="U34" t="s">
        <v>64</v>
      </c>
      <c r="W34" s="226"/>
      <c r="X34" s="236"/>
      <c r="Y34" s="237" t="s">
        <v>229</v>
      </c>
      <c r="Z34" s="238">
        <f>IF(I26="",P14*G25/12,I26)</f>
        <v>103272</v>
      </c>
      <c r="AA34" s="238">
        <f>IF(J26="",P15*G25/12,J26)</f>
        <v>33102</v>
      </c>
      <c r="AB34" s="238">
        <f>IF(K26="",P16*G25/12,K26)</f>
        <v>37568</v>
      </c>
      <c r="AC34" s="234" t="s">
        <v>226</v>
      </c>
      <c r="AD34" s="269"/>
      <c r="AE34" s="270" t="s">
        <v>229</v>
      </c>
      <c r="AF34" s="262">
        <f t="shared" ref="AF34:AF44" si="27">SUM(AG34:AI34)</f>
        <v>173942</v>
      </c>
      <c r="AG34" s="257">
        <f>IF(Z33&lt;1,AK33+AK34,AK34)</f>
        <v>103272</v>
      </c>
      <c r="AH34" s="251">
        <f>IF(AA33&lt;1,AL33+AL34,AL34)</f>
        <v>33102</v>
      </c>
      <c r="AI34" s="251">
        <f>IF(AB33&lt;1,AM33+AM34,AM34)</f>
        <v>37568</v>
      </c>
      <c r="AK34" s="288">
        <f>ROUNDDOWN(Z34,0)</f>
        <v>103272</v>
      </c>
      <c r="AL34" s="288">
        <f>ROUNDDOWN(AA34,0)</f>
        <v>33102</v>
      </c>
      <c r="AM34" s="288">
        <f>ROUNDDOWN(AB34,0)</f>
        <v>37568</v>
      </c>
      <c r="AN34" s="235"/>
    </row>
    <row r="35" spans="1:40">
      <c r="E35" s="62" t="s">
        <v>205</v>
      </c>
      <c r="F35" s="367" t="str">
        <f>IF(O34=1,"免除",IF(SUM(T32:T35)&lt;&gt;4,"減免不可",IF(O35=1,1,IF(J46&lt;=S41,T41,IF(J46&lt;=S42,T42,IF(J46&lt;=S43,T43,IF(J46&lt;=S44,T44,IF(J46&lt;=S45,T45,"エラー"))))))))</f>
        <v>減免不可</v>
      </c>
      <c r="G35" s="368"/>
      <c r="L35" s="13" t="s">
        <v>101</v>
      </c>
      <c r="M35" s="74" t="s">
        <v>39</v>
      </c>
      <c r="N35" s="6"/>
      <c r="O35">
        <f t="shared" ref="O35:O37" si="28">IF(M35="○",1,0)</f>
        <v>0</v>
      </c>
      <c r="Q35" s="6"/>
      <c r="R35" s="6"/>
      <c r="S35" s="58" t="s">
        <v>67</v>
      </c>
      <c r="T35" s="1">
        <f>IF(O36=1,IF(O41+O43+O44=0,0,1),1)</f>
        <v>1</v>
      </c>
      <c r="U35" t="s">
        <v>64</v>
      </c>
      <c r="V35" s="76"/>
      <c r="X35" s="236"/>
      <c r="Y35" s="237" t="s">
        <v>230</v>
      </c>
      <c r="Z35" s="238">
        <f>IF(I27="",R14*G25/12,I27)</f>
        <v>33574</v>
      </c>
      <c r="AA35" s="238">
        <f>IF(J27="",R15*G25/12,J27)</f>
        <v>10761</v>
      </c>
      <c r="AB35" s="239" t="s">
        <v>224</v>
      </c>
      <c r="AC35" s="234" t="s">
        <v>226</v>
      </c>
      <c r="AD35" s="269"/>
      <c r="AE35" s="270" t="s">
        <v>230</v>
      </c>
      <c r="AF35" s="262">
        <f t="shared" si="27"/>
        <v>44335</v>
      </c>
      <c r="AG35" s="257">
        <f>ROUNDDOWN(Z35,0)</f>
        <v>33574</v>
      </c>
      <c r="AH35" s="251">
        <f t="shared" ref="AH35" si="29">ROUNDDOWN(AA35,0)</f>
        <v>10761</v>
      </c>
      <c r="AI35" s="253" t="s">
        <v>224</v>
      </c>
    </row>
    <row r="36" spans="1:40" ht="14.25" thickBot="1">
      <c r="A36" s="80"/>
      <c r="B36" s="56"/>
      <c r="C36" s="38"/>
      <c r="F36" s="86" t="s">
        <v>72</v>
      </c>
      <c r="G36" s="107"/>
      <c r="H36" s="66"/>
      <c r="L36" s="13" t="s">
        <v>87</v>
      </c>
      <c r="M36" s="196" t="str">
        <f>IF(VLOOKUP(H39,試算シート!A20:K25,8,0)=1,"○","")</f>
        <v/>
      </c>
      <c r="N36" s="6"/>
      <c r="O36">
        <f t="shared" si="28"/>
        <v>0</v>
      </c>
      <c r="Q36" s="6"/>
      <c r="R36" s="6"/>
      <c r="S36" s="58"/>
      <c r="T36" s="13" t="s">
        <v>77</v>
      </c>
      <c r="V36" s="76"/>
      <c r="X36" s="236"/>
      <c r="Y36" s="237"/>
      <c r="Z36" s="238"/>
      <c r="AA36" s="238"/>
      <c r="AB36" s="238"/>
      <c r="AC36" s="234"/>
      <c r="AD36" s="271"/>
      <c r="AE36" s="272" t="s">
        <v>231</v>
      </c>
      <c r="AF36" s="263">
        <f t="shared" si="27"/>
        <v>454869</v>
      </c>
      <c r="AG36" s="258">
        <f>SUM(AG33:AG35)</f>
        <v>284716</v>
      </c>
      <c r="AH36" s="254">
        <f t="shared" ref="AH36:AI36" si="30">SUM(AH33:AH35)</f>
        <v>91881</v>
      </c>
      <c r="AI36" s="254">
        <f t="shared" si="30"/>
        <v>78272</v>
      </c>
    </row>
    <row r="37" spans="1:40">
      <c r="A37" s="99" t="s">
        <v>60</v>
      </c>
      <c r="B37" s="100" t="s">
        <v>11</v>
      </c>
      <c r="C37" s="101" t="s">
        <v>84</v>
      </c>
      <c r="D37" s="101" t="s">
        <v>12</v>
      </c>
      <c r="E37" s="347" t="s">
        <v>85</v>
      </c>
      <c r="F37" s="348"/>
      <c r="G37" s="104"/>
      <c r="H37" s="199" t="s">
        <v>173</v>
      </c>
      <c r="L37" s="13" t="str">
        <f>IF(OR(試算シート!V20=1,試算シート!V20=2),"擬制世帯主が生計維持者でない④","（※擬制世帯でなければ選択不要）④")</f>
        <v>（※擬制世帯でなければ選択不要）④</v>
      </c>
      <c r="M37" s="74"/>
      <c r="N37" s="6"/>
      <c r="O37">
        <f t="shared" si="28"/>
        <v>0</v>
      </c>
      <c r="Q37" s="6"/>
      <c r="R37" s="6"/>
      <c r="S37" s="58"/>
      <c r="T37" s="13"/>
      <c r="V37" s="76"/>
      <c r="X37" s="236"/>
      <c r="Y37" s="237" t="s">
        <v>232</v>
      </c>
      <c r="Z37" s="238">
        <f>Q14*G25/12</f>
        <v>20655</v>
      </c>
      <c r="AA37" s="238">
        <f>Q15*G25/12</f>
        <v>6621</v>
      </c>
      <c r="AB37" s="238">
        <f>Q16*G25/12</f>
        <v>7514</v>
      </c>
      <c r="AC37" s="234" t="s">
        <v>227</v>
      </c>
      <c r="AD37" s="273"/>
      <c r="AE37" s="274" t="s">
        <v>232</v>
      </c>
      <c r="AF37" s="264">
        <f t="shared" si="27"/>
        <v>34790</v>
      </c>
      <c r="AG37" s="259">
        <f>ROUNDUP(Z37,0)</f>
        <v>20655</v>
      </c>
      <c r="AH37" s="255">
        <f>ROUNDUP(AA37,0)</f>
        <v>6621</v>
      </c>
      <c r="AI37" s="255">
        <f t="shared" ref="AI37" si="31">ROUNDUP(AB37,0)</f>
        <v>7514</v>
      </c>
    </row>
    <row r="38" spans="1:40">
      <c r="A38" s="92" t="s">
        <v>14</v>
      </c>
      <c r="B38" s="67">
        <f>IF(O34=1,B16,IF(SUM(T32:T35)&lt;&gt;4,0,IF(D33=0,0,E41-C38-D38-B39-C39-D39-B40-C40)))</f>
        <v>0</v>
      </c>
      <c r="C38" s="103">
        <f>IF(O34=1,C16,IF(SUM(T32:T35)&lt;&gt;4,0,IF(D33=0,0,ROUNDDOWN($E$41*(C16-Q21)/$B$33,0))))</f>
        <v>0</v>
      </c>
      <c r="D38" s="67">
        <f>IF(O34=1,D16,IF(SUM(T32:T35)&lt;&gt;4,0,IF(D33=0,0,ROUNDDOWN($E$41*(D16-R21)/$B$33,0))))</f>
        <v>0</v>
      </c>
      <c r="E38" s="349">
        <f>SUM(B38:D38)</f>
        <v>0</v>
      </c>
      <c r="F38" s="350"/>
      <c r="G38" s="105"/>
      <c r="H38" s="200" t="s">
        <v>174</v>
      </c>
      <c r="N38" s="6"/>
      <c r="O38" s="6"/>
      <c r="P38" s="6"/>
      <c r="X38" s="236"/>
      <c r="Y38" s="237" t="s">
        <v>233</v>
      </c>
      <c r="Z38" s="238">
        <f>S14*G25/12</f>
        <v>6715</v>
      </c>
      <c r="AA38" s="238">
        <f>S15*G25/12</f>
        <v>2153</v>
      </c>
      <c r="AB38" s="239" t="s">
        <v>224</v>
      </c>
      <c r="AC38" s="234" t="s">
        <v>227</v>
      </c>
      <c r="AD38" s="269"/>
      <c r="AE38" s="270" t="s">
        <v>233</v>
      </c>
      <c r="AF38" s="262">
        <f t="shared" si="27"/>
        <v>8868</v>
      </c>
      <c r="AG38" s="257">
        <f>ROUNDUP(Z38,0)</f>
        <v>6715</v>
      </c>
      <c r="AH38" s="251">
        <f>ROUNDUP(AA38,0)</f>
        <v>2153</v>
      </c>
      <c r="AI38" s="253" t="s">
        <v>224</v>
      </c>
    </row>
    <row r="39" spans="1:40">
      <c r="A39" s="102" t="s">
        <v>15</v>
      </c>
      <c r="B39" s="67">
        <f>IF(O34=1,B18,IF(SUM(T32:T35)&lt;&gt;4,0,IF(D33=0,0,ROUNDDOWN($E$41*B18/$B$33,0))))</f>
        <v>0</v>
      </c>
      <c r="C39" s="67">
        <f>IF(O34=1,C18,IF(SUM(T32:T35)&lt;&gt;4,0,IF(D33=0,0,ROUNDDOWN($E$41*C18/$B$33,0))))</f>
        <v>0</v>
      </c>
      <c r="D39" s="67">
        <f>IF(O34=1,D18,IF(SUM(T32:T35)&lt;&gt;4,0,IF(D33=0,0,ROUNDDOWN($E$41*D18/$B$33,0))))</f>
        <v>0</v>
      </c>
      <c r="E39" s="349">
        <f t="shared" ref="E39:E40" si="32">SUM(B39:D39)</f>
        <v>0</v>
      </c>
      <c r="F39" s="350"/>
      <c r="G39" s="105"/>
      <c r="H39" s="193" t="s">
        <v>107</v>
      </c>
      <c r="K39" s="13" t="s">
        <v>281</v>
      </c>
      <c r="L39" s="5"/>
      <c r="M39" s="13" t="s">
        <v>58</v>
      </c>
      <c r="N39" s="6"/>
      <c r="O39" s="6"/>
      <c r="P39" s="6"/>
      <c r="S39" s="58"/>
      <c r="T39" s="6"/>
      <c r="U39" s="6"/>
      <c r="X39" s="236"/>
      <c r="Y39" s="237" t="s">
        <v>234</v>
      </c>
      <c r="Z39" s="238">
        <f>AF24*G25/12</f>
        <v>13770</v>
      </c>
      <c r="AA39" s="238">
        <f>AF25*G25/12</f>
        <v>4414</v>
      </c>
      <c r="AB39" s="239" t="s">
        <v>224</v>
      </c>
      <c r="AC39" s="234" t="s">
        <v>227</v>
      </c>
      <c r="AD39" s="269"/>
      <c r="AE39" s="270" t="s">
        <v>234</v>
      </c>
      <c r="AF39" s="262">
        <f t="shared" si="27"/>
        <v>18184</v>
      </c>
      <c r="AG39" s="257">
        <f>ROUNDUP(Z39,0)</f>
        <v>13770</v>
      </c>
      <c r="AH39" s="251">
        <f t="shared" ref="AH39" si="33">ROUNDUP(AA39,0)</f>
        <v>4414</v>
      </c>
      <c r="AI39" s="253" t="s">
        <v>224</v>
      </c>
      <c r="AJ39" s="73"/>
    </row>
    <row r="40" spans="1:40" ht="14.25" thickBot="1">
      <c r="A40" s="120" t="s">
        <v>16</v>
      </c>
      <c r="B40" s="119">
        <f>IF(O34=1,B19,IF(SUM(T32:T35)&lt;&gt;4,0,IF(D33=0,0,ROUNDDOWN($E$41*B19/$B$33,0))))</f>
        <v>0</v>
      </c>
      <c r="C40" s="119">
        <f>IF(O34=1,C19,IF(SUM(T32:T35)&lt;&gt;4,0,IF(D33=0,0,ROUNDDOWN($E$41*C19/$B$33,0))))</f>
        <v>0</v>
      </c>
      <c r="D40" s="121"/>
      <c r="E40" s="351">
        <f t="shared" si="32"/>
        <v>0</v>
      </c>
      <c r="F40" s="352"/>
      <c r="G40" s="105"/>
      <c r="H40" s="192"/>
      <c r="J40" s="60" t="s">
        <v>52</v>
      </c>
      <c r="K40" s="18" t="s">
        <v>53</v>
      </c>
      <c r="M40" s="61" t="s">
        <v>52</v>
      </c>
      <c r="N40" s="6"/>
      <c r="O40" s="37"/>
      <c r="P40" s="6" t="s">
        <v>74</v>
      </c>
      <c r="Q40" t="s">
        <v>75</v>
      </c>
      <c r="S40" s="58" t="s">
        <v>76</v>
      </c>
      <c r="X40" s="236"/>
      <c r="Y40" s="237" t="s">
        <v>235</v>
      </c>
      <c r="Z40" s="238">
        <f>SUM(AF5:AH9)</f>
        <v>0</v>
      </c>
      <c r="AA40" s="238">
        <f>SUM(AJ5:AL9)</f>
        <v>0</v>
      </c>
      <c r="AB40" s="240">
        <f>SUM(AN5:AN9)</f>
        <v>0</v>
      </c>
      <c r="AC40" s="234" t="s">
        <v>227</v>
      </c>
      <c r="AD40" s="269"/>
      <c r="AE40" s="270" t="s">
        <v>235</v>
      </c>
      <c r="AF40" s="262">
        <f t="shared" si="27"/>
        <v>0</v>
      </c>
      <c r="AG40" s="257">
        <f>IF(AK40&gt;AG33,AG33,AK40)</f>
        <v>0</v>
      </c>
      <c r="AH40" s="251">
        <f>IF(AL40&gt;AH33,AH33,AL40)</f>
        <v>0</v>
      </c>
      <c r="AI40" s="251">
        <f>IF(AM40&gt;AI33,AI33,AM40)</f>
        <v>0</v>
      </c>
      <c r="AK40" s="288">
        <f>ROUNDUP(Z40,0)</f>
        <v>0</v>
      </c>
      <c r="AL40" s="288">
        <f>ROUNDUP(AA40,0)</f>
        <v>0</v>
      </c>
      <c r="AM40" s="288">
        <f>ROUNDUP(AB40,0)</f>
        <v>0</v>
      </c>
      <c r="AN40" s="286"/>
    </row>
    <row r="41" spans="1:40" ht="14.25" thickTop="1">
      <c r="A41" s="117" t="s">
        <v>17</v>
      </c>
      <c r="B41" s="118">
        <f>SUM(B38:B40)</f>
        <v>0</v>
      </c>
      <c r="C41" s="118">
        <f t="shared" ref="C41:D41" si="34">SUM(C38:C40)</f>
        <v>0</v>
      </c>
      <c r="D41" s="118">
        <f t="shared" si="34"/>
        <v>0</v>
      </c>
      <c r="E41" s="353">
        <f>IF(O34=1,SUM(E38:F40),IF(SUM(T32:T35)&lt;&gt;4,0,IF(D33=0,0,ROUNDUP(B33*D33/F33*F35,0))))</f>
        <v>0</v>
      </c>
      <c r="F41" s="353"/>
      <c r="G41" s="106"/>
      <c r="H41" s="192"/>
      <c r="I41" s="2" t="s">
        <v>55</v>
      </c>
      <c r="J41" s="75"/>
      <c r="K41" s="75"/>
      <c r="L41" s="56"/>
      <c r="M41" s="75"/>
      <c r="O41" s="6">
        <f>IF(OR(J41="",J41=0,M41=""),0,IF(1-(M41/J41)&lt;0.3,0,1))</f>
        <v>0</v>
      </c>
      <c r="P41" s="69">
        <f>IF(O41=1,0,K41)</f>
        <v>0</v>
      </c>
      <c r="Q41" s="66">
        <f>IF(O41=0,0,K41)</f>
        <v>0</v>
      </c>
      <c r="S41" s="65">
        <v>3000000</v>
      </c>
      <c r="T41" s="1">
        <v>1</v>
      </c>
      <c r="U41" s="73"/>
      <c r="W41" s="233"/>
      <c r="X41" s="236"/>
      <c r="Y41" s="237" t="s">
        <v>237</v>
      </c>
      <c r="Z41" s="238">
        <f>IF(Z47&gt;Z48,Z47-Z48,0)</f>
        <v>0</v>
      </c>
      <c r="AA41" s="238">
        <f t="shared" ref="AA41:AB41" si="35">IF(AA47&gt;AA48,AA47-AA48,0)</f>
        <v>0</v>
      </c>
      <c r="AB41" s="238">
        <f t="shared" si="35"/>
        <v>0</v>
      </c>
      <c r="AC41" s="234" t="s">
        <v>227</v>
      </c>
      <c r="AD41" s="269"/>
      <c r="AE41" s="270" t="s">
        <v>237</v>
      </c>
      <c r="AF41" s="262">
        <f t="shared" si="27"/>
        <v>0</v>
      </c>
      <c r="AG41" s="257">
        <f>ROUNDUP(Z41,0)</f>
        <v>0</v>
      </c>
      <c r="AH41" s="251">
        <f>ROUNDUP(AA41,0)</f>
        <v>0</v>
      </c>
      <c r="AI41" s="252">
        <f>ROUNDUP(AB41,0)</f>
        <v>0</v>
      </c>
    </row>
    <row r="42" spans="1:40" ht="14.25" thickBot="1">
      <c r="A42" s="13" t="s">
        <v>78</v>
      </c>
      <c r="B42" s="73" t="str">
        <f>IF(G43&lt;0,"",IF(B16&lt;B38,"↑端数を所得割額以外へ振り分けることで調整してください",""))</f>
        <v/>
      </c>
      <c r="H42" s="192"/>
      <c r="I42" s="2" t="s">
        <v>56</v>
      </c>
      <c r="J42" s="195">
        <f>VLOOKUP(H39,試算シート!A3:D8,4,0)</f>
        <v>3000000</v>
      </c>
      <c r="K42" s="195">
        <f>VLOOKUP(H39,試算シート!A20:K25,4,0)-VLOOKUP(H39,試算シート!A20:K25,5,0)</f>
        <v>2020000</v>
      </c>
      <c r="L42" s="194" t="s">
        <v>176</v>
      </c>
      <c r="M42" s="75">
        <v>7000000</v>
      </c>
      <c r="O42" s="6">
        <f>IF(OR(J42="",J42=0,M42="",O36=1),0,IF(1-(M42/J42)&lt;0.3,0,1))</f>
        <v>0</v>
      </c>
      <c r="P42" s="69">
        <f>IF(O42=1,0,IF(O36=1,ROUNDDOWN(K42*0.3,0),K42))</f>
        <v>2020000</v>
      </c>
      <c r="Q42" s="66">
        <f>IF(O42=0,0,IF(O36=1,ROUNDDOWN(K42*0.3,0),K42))</f>
        <v>0</v>
      </c>
      <c r="S42" s="65">
        <v>4000000</v>
      </c>
      <c r="T42" s="1">
        <v>0.8</v>
      </c>
      <c r="X42" s="236"/>
      <c r="Y42" s="237"/>
      <c r="Z42" s="238"/>
      <c r="AA42" s="238"/>
      <c r="AB42" s="238"/>
      <c r="AC42" s="241"/>
      <c r="AD42" s="275"/>
      <c r="AE42" s="276" t="s">
        <v>236</v>
      </c>
      <c r="AF42" s="265">
        <f t="shared" si="27"/>
        <v>61842</v>
      </c>
      <c r="AG42" s="260">
        <f>SUM(AG37:AG41)</f>
        <v>41140</v>
      </c>
      <c r="AH42" s="256">
        <f t="shared" ref="AH42:AI42" si="36">SUM(AH37:AH41)</f>
        <v>13188</v>
      </c>
      <c r="AI42" s="256">
        <f t="shared" si="36"/>
        <v>7514</v>
      </c>
    </row>
    <row r="43" spans="1:40" ht="14.25" thickBot="1">
      <c r="E43" s="345" t="s">
        <v>20</v>
      </c>
      <c r="F43" s="346"/>
      <c r="G43" s="304">
        <f>ROUNDDOWN(IF((B16+B18+B19-B38-B39-B40)&gt;M8*G25/12,M8*G25/12,B16+B18+B19-B38-B39-B40),0)+ROUNDDOWN(IF((C16+C18+C19-C38-C39-C40)&gt;M11*G25/12,M11*G25/12,C16+C18+C19-C38-C39-C40),0)+ROUNDDOWN(IF((D16+D18+D19-D38-D39-D40)&gt;M13*G25/12,M13*G25/12,D16+D18+D19-D38-D39-D40),0)</f>
        <v>393027</v>
      </c>
      <c r="I43" s="2" t="s">
        <v>57</v>
      </c>
      <c r="J43" s="75"/>
      <c r="K43" s="75"/>
      <c r="L43" s="201" t="s">
        <v>177</v>
      </c>
      <c r="M43" s="75"/>
      <c r="O43" s="6">
        <f>IF(OR(J43="",J43=0,M43=""),0,IF(1-(M43/J43)&lt;0.3,0,1))</f>
        <v>0</v>
      </c>
      <c r="P43" s="69">
        <f>IF(O43=1,0,K43)</f>
        <v>0</v>
      </c>
      <c r="Q43" s="66">
        <f t="shared" ref="Q43:Q45" si="37">IF(O43=0,0,K43)</f>
        <v>0</v>
      </c>
      <c r="S43" s="65">
        <v>5500000</v>
      </c>
      <c r="T43" s="1">
        <v>0.6</v>
      </c>
      <c r="X43" s="235"/>
      <c r="Y43" s="241"/>
      <c r="Z43" s="238">
        <f>SUM(Z33:Z35)-SUM(Z37:Z41)</f>
        <v>243576</v>
      </c>
      <c r="AA43" s="238">
        <f>SUM(AA33:AA35)-SUM(AA37:AA41)</f>
        <v>78693</v>
      </c>
      <c r="AB43" s="238">
        <f>SUM(AB33:AB34)-AB37-SUM(AB40:AB41)</f>
        <v>70758</v>
      </c>
      <c r="AC43" s="235"/>
      <c r="AD43" s="248"/>
      <c r="AE43" s="249"/>
      <c r="AF43" s="250"/>
      <c r="AG43" s="250"/>
      <c r="AH43" s="250"/>
      <c r="AI43" s="250"/>
    </row>
    <row r="44" spans="1:40" ht="14.25" thickBot="1">
      <c r="B44" s="76"/>
      <c r="G44" s="122" t="str">
        <f>IF(G43&lt;0,"全額減免","")</f>
        <v/>
      </c>
      <c r="I44" s="2" t="s">
        <v>54</v>
      </c>
      <c r="J44" s="75"/>
      <c r="K44" s="75"/>
      <c r="L44" s="56"/>
      <c r="M44" s="75"/>
      <c r="O44" s="6">
        <f>IF(OR(J44="",J44=0,M44=""),0,IF(1-(M44/J44)&lt;0.3,0,1))</f>
        <v>0</v>
      </c>
      <c r="P44" s="69">
        <f>IF(O44=1,0,K44)</f>
        <v>0</v>
      </c>
      <c r="Q44" s="66">
        <f t="shared" si="37"/>
        <v>0</v>
      </c>
      <c r="S44" s="65">
        <v>7500000</v>
      </c>
      <c r="T44" s="1">
        <v>0.4</v>
      </c>
      <c r="X44" s="235"/>
      <c r="Y44" s="241" t="s">
        <v>246</v>
      </c>
      <c r="Z44" s="242">
        <f>ROUNDDOWN(Z43,0)</f>
        <v>243576</v>
      </c>
      <c r="AA44" s="242">
        <f t="shared" ref="AA44:AB44" si="38">ROUNDDOWN(AA43,0)</f>
        <v>78693</v>
      </c>
      <c r="AB44" s="242">
        <f t="shared" si="38"/>
        <v>70758</v>
      </c>
      <c r="AC44" s="234" t="s">
        <v>238</v>
      </c>
      <c r="AD44" s="269"/>
      <c r="AE44" s="270" t="s">
        <v>239</v>
      </c>
      <c r="AF44" s="267">
        <f t="shared" si="27"/>
        <v>393027</v>
      </c>
      <c r="AG44" s="266">
        <f>IF(Z47&gt;ROUNDDOWN(M8*G25/12,0),Z48,Z44)</f>
        <v>243576</v>
      </c>
      <c r="AH44" s="251">
        <f>IF(AA47&gt;ROUNDDOWN(M11*G25/12,0),AA48,AA44)</f>
        <v>78693</v>
      </c>
      <c r="AI44" s="251">
        <f>IF(AB47&gt;ROUNDDOWN(M13*G25/12,0),AB48,AB44)</f>
        <v>70758</v>
      </c>
    </row>
    <row r="45" spans="1:40">
      <c r="B45" s="77"/>
      <c r="I45" s="354" t="s">
        <v>59</v>
      </c>
      <c r="J45" s="354"/>
      <c r="K45" s="75"/>
      <c r="O45" s="6">
        <v>0</v>
      </c>
      <c r="P45" s="69">
        <f>IF(O45=1,0,K45)</f>
        <v>0</v>
      </c>
      <c r="Q45" s="66">
        <f t="shared" si="37"/>
        <v>0</v>
      </c>
      <c r="S45" s="65">
        <v>10000000</v>
      </c>
      <c r="T45" s="1">
        <v>0.2</v>
      </c>
      <c r="Y45" s="231"/>
      <c r="AD45" s="232"/>
    </row>
    <row r="46" spans="1:40">
      <c r="B46" s="77"/>
      <c r="I46" s="202" t="s">
        <v>178</v>
      </c>
      <c r="J46" s="66">
        <f>SUM(K41:K45)</f>
        <v>2020000</v>
      </c>
      <c r="K46" s="66">
        <f>IF(O36=0,SUM(K41:K45),K41+VLOOKUP(H39,試算シート!A20:K25,10,0)-VLOOKUP(H39,試算シート!A20:K25,11,0)+K43+K44+K45)</f>
        <v>2020000</v>
      </c>
      <c r="L46" s="203" t="s">
        <v>179</v>
      </c>
      <c r="N46" s="6"/>
      <c r="O46" s="6"/>
      <c r="P46" s="6"/>
    </row>
    <row r="47" spans="1:40">
      <c r="B47" s="77"/>
      <c r="F47" s="55"/>
      <c r="J47" s="13"/>
      <c r="K47" s="81"/>
      <c r="N47" s="6"/>
      <c r="O47" s="6"/>
      <c r="P47" s="6"/>
      <c r="Q47" s="111" t="s">
        <v>99</v>
      </c>
      <c r="Y47" s="289" t="s">
        <v>277</v>
      </c>
      <c r="Z47" s="290">
        <f>ROUNDDOWN(Z33,0)+ROUNDDOWN(Z34,0)+ROUNDDOWN(Z35,0)-ROUNDUP(Z37,0)-ROUNDUP(Z38,0)-ROUNDUP(Z39,0)-ROUNDUP(Z40,0)</f>
        <v>243576</v>
      </c>
      <c r="AA47" s="290">
        <f t="shared" ref="AA47" si="39">ROUNDDOWN(AA33,0)+ROUNDDOWN(AA34,0)+ROUNDDOWN(AA35,0)-ROUNDUP(AA37,0)-ROUNDUP(AA38,0)-ROUNDUP(AA39,0)-ROUNDUP(AA40,0)</f>
        <v>78693</v>
      </c>
      <c r="AB47" s="290">
        <f>ROUNDDOWN(AB33,0)+ROUNDDOWN(AB34,0)-ROUNDUP(AB37,0)-ROUNDUP(AB40,0)</f>
        <v>70758</v>
      </c>
    </row>
    <row r="48" spans="1:40">
      <c r="N48" s="6"/>
      <c r="O48" s="6"/>
      <c r="P48" s="6"/>
      <c r="Q48" s="112" t="s">
        <v>100</v>
      </c>
      <c r="Y48" s="289" t="s">
        <v>278</v>
      </c>
      <c r="Z48" s="291">
        <f>ROUNDDOWN(M8*G25/12,0)</f>
        <v>650000</v>
      </c>
      <c r="AA48" s="291">
        <f>ROUNDDOWN(M11*G25/12,0)</f>
        <v>240000</v>
      </c>
      <c r="AB48" s="291">
        <f>ROUNDDOWN(M13*G25/12,0)</f>
        <v>170000</v>
      </c>
    </row>
  </sheetData>
  <sheetProtection algorithmName="SHA-512" hashValue="/fuK293V6rCLinTodOvNkcidJoOn0pkIUwn8gzJCTFYPwn/tuxrErF1sboEyiMZD81LN4b0JyAkvFRDLMVQ2pw==" saltValue="25eC6yzIJDMYmPNIeiB5eQ==" spinCount="100000" sheet="1" selectLockedCells="1"/>
  <mergeCells count="26">
    <mergeCell ref="I45:J45"/>
    <mergeCell ref="D1:F1"/>
    <mergeCell ref="D3:F3"/>
    <mergeCell ref="E23:F23"/>
    <mergeCell ref="A24:B24"/>
    <mergeCell ref="D22:E22"/>
    <mergeCell ref="E16:F16"/>
    <mergeCell ref="E17:F17"/>
    <mergeCell ref="I6:I8"/>
    <mergeCell ref="I9:I11"/>
    <mergeCell ref="I12:I13"/>
    <mergeCell ref="A13:C13"/>
    <mergeCell ref="I15:I18"/>
    <mergeCell ref="F34:G34"/>
    <mergeCell ref="F33:G33"/>
    <mergeCell ref="F35:G35"/>
    <mergeCell ref="AD32:AE32"/>
    <mergeCell ref="X32:Y32"/>
    <mergeCell ref="D2:F2"/>
    <mergeCell ref="A25:B25"/>
    <mergeCell ref="E43:F43"/>
    <mergeCell ref="E37:F37"/>
    <mergeCell ref="E38:F38"/>
    <mergeCell ref="E39:F39"/>
    <mergeCell ref="E40:F40"/>
    <mergeCell ref="E41:F41"/>
  </mergeCells>
  <phoneticPr fontId="2"/>
  <conditionalFormatting sqref="J15">
    <cfRule type="expression" dxfId="6" priority="7">
      <formula>$G$11&lt;=$K$15</formula>
    </cfRule>
  </conditionalFormatting>
  <conditionalFormatting sqref="J16">
    <cfRule type="expression" dxfId="5" priority="6">
      <formula>AND($G$11&gt;$K$15,$G$11&lt;=$K$16)</formula>
    </cfRule>
  </conditionalFormatting>
  <conditionalFormatting sqref="J17">
    <cfRule type="expression" dxfId="4" priority="5">
      <formula>AND($G$11&gt;$K$16,$G$11&lt;=$K$17)</formula>
    </cfRule>
  </conditionalFormatting>
  <conditionalFormatting sqref="B18:D19">
    <cfRule type="expression" dxfId="3" priority="4">
      <formula>$S$14&lt;&gt;0</formula>
    </cfRule>
  </conditionalFormatting>
  <dataValidations count="4">
    <dataValidation imeMode="off" allowBlank="1" showInputMessage="1" showErrorMessage="1" sqref="M20 C24 B5:E9" xr:uid="{00000000-0002-0000-0100-000000000000}"/>
    <dataValidation type="list" allowBlank="1" showInputMessage="1" showErrorMessage="1" sqref="M34:M35 M37" xr:uid="{00000000-0002-0000-0100-000001000000}">
      <formula1>"　,○"</formula1>
    </dataValidation>
    <dataValidation type="list" allowBlank="1" showInputMessage="1" showErrorMessage="1" sqref="G25" xr:uid="{00000000-0002-0000-0100-000002000000}">
      <formula1>"12,11,10,9,8,7,6,5,4,3,2,1"</formula1>
    </dataValidation>
    <dataValidation type="list" allowBlank="1" showInputMessage="1" showErrorMessage="1" sqref="G27" xr:uid="{00000000-0002-0000-0100-000003000000}">
      <formula1>"7,5,2,0"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14CF5AB-1D62-425B-A214-14658BA90179}">
            <xm:f>試算シート!V20&gt;2</xm:f>
            <x14:dxf>
              <fill>
                <patternFill>
                  <bgColor theme="0" tint="-0.499984740745262"/>
                </patternFill>
              </fill>
            </x14:dxf>
          </x14:cfRule>
          <xm:sqref>M37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試算シート!$A$20:$A$25</xm:f>
          </x14:formula1>
          <xm:sqref>H39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"/>
  <sheetViews>
    <sheetView view="pageBreakPreview" zoomScale="85" zoomScaleNormal="100" zoomScaleSheetLayoutView="85" workbookViewId="0">
      <selection activeCell="M20" sqref="M20"/>
    </sheetView>
  </sheetViews>
  <sheetFormatPr defaultRowHeight="13.5"/>
  <cols>
    <col min="1" max="1" width="3.875" customWidth="1"/>
    <col min="2" max="2" width="16.125" customWidth="1"/>
    <col min="3" max="3" width="15.875" customWidth="1"/>
    <col min="4" max="4" width="25.75" bestFit="1" customWidth="1"/>
    <col min="5" max="5" width="3.875" customWidth="1"/>
    <col min="6" max="6" width="19.5" bestFit="1" customWidth="1"/>
  </cols>
  <sheetData>
    <row r="1" spans="1:6">
      <c r="A1" s="25"/>
      <c r="B1" s="25"/>
      <c r="C1" s="25"/>
      <c r="D1" s="25"/>
      <c r="E1" s="25"/>
      <c r="F1" s="25"/>
    </row>
    <row r="2" spans="1:6">
      <c r="A2" s="25"/>
      <c r="B2" s="25"/>
      <c r="C2" s="25"/>
      <c r="D2" s="26">
        <f ca="1">TODAY()</f>
        <v>45709</v>
      </c>
      <c r="E2" s="25"/>
      <c r="F2" s="26"/>
    </row>
    <row r="3" spans="1:6">
      <c r="A3" s="25"/>
      <c r="B3" s="25"/>
      <c r="C3" s="25"/>
      <c r="D3" s="25"/>
      <c r="E3" s="25"/>
      <c r="F3" s="26"/>
    </row>
    <row r="4" spans="1:6" ht="17.25">
      <c r="A4" s="25"/>
      <c r="B4" s="36" t="str">
        <f>計算!M1</f>
        <v>令和7年度</v>
      </c>
      <c r="C4" s="372" t="s">
        <v>32</v>
      </c>
      <c r="D4" s="372"/>
      <c r="E4" s="25"/>
      <c r="F4" s="25"/>
    </row>
    <row r="5" spans="1:6">
      <c r="A5" s="25"/>
      <c r="B5" s="25"/>
      <c r="C5" s="25"/>
      <c r="D5" s="25"/>
      <c r="E5" s="25"/>
      <c r="F5" s="25"/>
    </row>
    <row r="6" spans="1:6" ht="18" customHeight="1">
      <c r="A6" s="25"/>
      <c r="B6" s="373" t="s">
        <v>33</v>
      </c>
      <c r="C6" s="373"/>
      <c r="D6" s="30">
        <f>計算!G23</f>
        <v>393027</v>
      </c>
      <c r="E6" s="25"/>
      <c r="F6" s="25"/>
    </row>
    <row r="7" spans="1:6" ht="18" customHeight="1">
      <c r="A7" s="25"/>
      <c r="B7" s="374" t="s">
        <v>103</v>
      </c>
      <c r="C7" s="374"/>
      <c r="D7" s="29">
        <f>計算!G23/計算!G25</f>
        <v>32752.25</v>
      </c>
      <c r="E7" s="25"/>
      <c r="F7" s="25"/>
    </row>
    <row r="8" spans="1:6" ht="18" customHeight="1">
      <c r="A8" s="25"/>
      <c r="B8" s="375"/>
      <c r="C8" s="375"/>
      <c r="D8" s="129"/>
      <c r="E8" s="25"/>
      <c r="F8" s="25"/>
    </row>
    <row r="9" spans="1:6" ht="18" customHeight="1">
      <c r="A9" s="25"/>
      <c r="B9" s="332" t="s">
        <v>291</v>
      </c>
      <c r="C9" s="330"/>
      <c r="D9" s="331"/>
      <c r="E9" s="25"/>
      <c r="F9" s="25"/>
    </row>
    <row r="10" spans="1:6" ht="18" customHeight="1">
      <c r="A10" s="25"/>
      <c r="B10" s="332" t="s">
        <v>292</v>
      </c>
      <c r="C10" s="330"/>
      <c r="D10" s="331"/>
      <c r="E10" s="25"/>
      <c r="F10" s="25"/>
    </row>
    <row r="11" spans="1:6">
      <c r="A11" s="25"/>
      <c r="B11" s="328" t="s">
        <v>293</v>
      </c>
      <c r="C11" s="25"/>
      <c r="D11" s="28"/>
      <c r="E11" s="25"/>
      <c r="F11" s="25"/>
    </row>
    <row r="12" spans="1:6">
      <c r="A12" s="25"/>
      <c r="B12" s="25"/>
      <c r="C12" s="25"/>
      <c r="D12" s="25"/>
      <c r="E12" s="25"/>
      <c r="F12" s="25"/>
    </row>
    <row r="13" spans="1:6">
      <c r="A13" s="25"/>
      <c r="B13" s="377" t="s">
        <v>37</v>
      </c>
      <c r="C13" s="377"/>
      <c r="D13" s="377"/>
      <c r="E13" s="25"/>
      <c r="F13" s="25"/>
    </row>
    <row r="14" spans="1:6">
      <c r="A14" s="25"/>
      <c r="B14" s="35" t="s">
        <v>38</v>
      </c>
      <c r="C14" s="31" t="s">
        <v>34</v>
      </c>
      <c r="D14" s="32">
        <f>計算!B3</f>
        <v>1</v>
      </c>
      <c r="E14" s="25"/>
      <c r="F14" s="25"/>
    </row>
    <row r="15" spans="1:6">
      <c r="A15" s="25"/>
      <c r="B15" s="33"/>
      <c r="C15" s="31" t="s">
        <v>35</v>
      </c>
      <c r="D15" s="32">
        <f>計算!C3</f>
        <v>2</v>
      </c>
      <c r="E15" s="25"/>
      <c r="F15" s="25"/>
    </row>
    <row r="16" spans="1:6">
      <c r="A16" s="25"/>
      <c r="B16" s="34"/>
      <c r="C16" s="31" t="s">
        <v>36</v>
      </c>
      <c r="D16" s="32">
        <f>計算!D3</f>
        <v>0</v>
      </c>
      <c r="E16" s="25"/>
      <c r="F16" s="25"/>
    </row>
    <row r="17" spans="1:6">
      <c r="A17" s="25"/>
      <c r="B17" s="25"/>
      <c r="C17" s="25"/>
      <c r="D17" s="25"/>
      <c r="E17" s="25"/>
      <c r="F17" s="25"/>
    </row>
    <row r="18" spans="1:6">
      <c r="A18" s="25"/>
      <c r="B18" s="376"/>
      <c r="C18" s="376"/>
      <c r="D18" s="27"/>
      <c r="E18" s="25"/>
      <c r="F18" s="25"/>
    </row>
    <row r="19" spans="1:6">
      <c r="A19" s="25"/>
      <c r="B19" s="377" t="s">
        <v>294</v>
      </c>
      <c r="C19" s="377"/>
      <c r="D19" s="27"/>
      <c r="E19" s="25"/>
      <c r="F19" s="25"/>
    </row>
    <row r="20" spans="1:6">
      <c r="A20" s="25"/>
      <c r="B20" s="369" t="s">
        <v>56</v>
      </c>
      <c r="C20" s="370"/>
      <c r="D20" s="329" t="s">
        <v>289</v>
      </c>
      <c r="E20" s="25"/>
      <c r="F20" s="292"/>
    </row>
    <row r="21" spans="1:6">
      <c r="A21" s="25"/>
      <c r="B21" s="371" t="s">
        <v>290</v>
      </c>
      <c r="C21" s="371"/>
      <c r="D21" s="329" t="s">
        <v>289</v>
      </c>
      <c r="E21" s="25"/>
      <c r="F21" s="25"/>
    </row>
    <row r="22" spans="1:6">
      <c r="A22" s="25"/>
      <c r="B22" s="369" t="s">
        <v>288</v>
      </c>
      <c r="C22" s="370"/>
      <c r="D22" s="329" t="s">
        <v>289</v>
      </c>
      <c r="E22" s="25"/>
      <c r="F22" s="25"/>
    </row>
    <row r="23" spans="1:6">
      <c r="A23" s="25"/>
      <c r="B23" s="25"/>
      <c r="C23" s="25"/>
      <c r="D23" s="293"/>
      <c r="E23" s="25"/>
      <c r="F23" s="25"/>
    </row>
  </sheetData>
  <sheetProtection algorithmName="SHA-512" hashValue="V2GzH1nEthTvjt1cyqjpdcML0jxxO4EA1kw9E8lyR7edPMhv3yFtlWezhLD7/VjYbR/56PDmzynaOCGaKT/R1Q==" saltValue="2YBaNtg2JYZof9z74R7z7A==" spinCount="100000" sheet="1" objects="1" scenarios="1" selectLockedCells="1"/>
  <mergeCells count="10">
    <mergeCell ref="B22:C22"/>
    <mergeCell ref="B21:C21"/>
    <mergeCell ref="C4:D4"/>
    <mergeCell ref="B6:C6"/>
    <mergeCell ref="B7:C7"/>
    <mergeCell ref="B8:C8"/>
    <mergeCell ref="B20:C20"/>
    <mergeCell ref="B18:C18"/>
    <mergeCell ref="B19:C19"/>
    <mergeCell ref="B13:D13"/>
  </mergeCells>
  <phoneticPr fontId="2"/>
  <conditionalFormatting sqref="B18:D19">
    <cfRule type="expression" dxfId="1" priority="9">
      <formula>#REF!&lt;&gt;""</formula>
    </cfRule>
  </conditionalFormatting>
  <pageMargins left="0.7" right="0.7" top="0.75" bottom="0.75" header="0.3" footer="0.3"/>
  <pageSetup paperSize="9" scale="97" orientation="portrait" verticalDpi="0" r:id="rId1"/>
  <colBreaks count="1" manualBreakCount="1">
    <brk id="6" min="1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0D728-1340-40EF-A2F5-65E0FDC15ABE}">
  <sheetPr>
    <pageSetUpPr fitToPage="1"/>
  </sheetPr>
  <dimension ref="A1:S22"/>
  <sheetViews>
    <sheetView zoomScale="70" zoomScaleNormal="70" workbookViewId="0">
      <selection activeCell="C16" sqref="C16"/>
    </sheetView>
  </sheetViews>
  <sheetFormatPr defaultRowHeight="13.5"/>
  <cols>
    <col min="1" max="1" width="15.125" bestFit="1" customWidth="1"/>
    <col min="2" max="2" width="15.375" bestFit="1" customWidth="1"/>
    <col min="3" max="3" width="18.25" bestFit="1" customWidth="1"/>
    <col min="4" max="5" width="20.5" customWidth="1"/>
    <col min="6" max="8" width="20.375" customWidth="1"/>
    <col min="9" max="12" width="20.375" style="198" customWidth="1"/>
    <col min="13" max="15" width="20.625" customWidth="1"/>
    <col min="16" max="28" width="17" customWidth="1"/>
  </cols>
  <sheetData>
    <row r="1" spans="1:18" ht="23.25" customHeight="1">
      <c r="A1" s="141" t="s">
        <v>284</v>
      </c>
      <c r="B1" s="142"/>
      <c r="C1" s="142"/>
      <c r="D1" s="142"/>
      <c r="E1" s="142"/>
      <c r="F1" s="142"/>
      <c r="G1" s="142"/>
      <c r="H1" s="142"/>
      <c r="I1" s="305"/>
      <c r="J1" s="306"/>
    </row>
    <row r="2" spans="1:18" ht="23.25" customHeight="1" thickBot="1">
      <c r="A2" s="316"/>
      <c r="B2" s="317" t="s">
        <v>122</v>
      </c>
      <c r="C2" s="317" t="s">
        <v>105</v>
      </c>
      <c r="D2" s="317" t="s">
        <v>130</v>
      </c>
      <c r="E2" s="318" t="s">
        <v>282</v>
      </c>
      <c r="F2" s="317" t="s">
        <v>131</v>
      </c>
      <c r="G2" s="317" t="s">
        <v>189</v>
      </c>
      <c r="H2" s="318" t="s">
        <v>149</v>
      </c>
      <c r="I2" s="307"/>
    </row>
    <row r="3" spans="1:18" ht="23.25" customHeight="1" thickTop="1" thickBot="1">
      <c r="A3" s="323" t="s">
        <v>107</v>
      </c>
      <c r="B3" s="324" t="s">
        <v>104</v>
      </c>
      <c r="C3" s="324" t="s">
        <v>114</v>
      </c>
      <c r="D3" s="325">
        <v>3000000</v>
      </c>
      <c r="E3" s="326">
        <v>2000000</v>
      </c>
      <c r="F3" s="325"/>
      <c r="G3" s="326" t="s">
        <v>283</v>
      </c>
      <c r="H3" s="327"/>
      <c r="I3" s="308"/>
      <c r="J3" s="309"/>
    </row>
    <row r="4" spans="1:18" ht="23.25" customHeight="1" thickTop="1">
      <c r="A4" s="319" t="s">
        <v>108</v>
      </c>
      <c r="B4" s="320" t="s">
        <v>104</v>
      </c>
      <c r="C4" s="320" t="s">
        <v>114</v>
      </c>
      <c r="D4" s="321"/>
      <c r="E4" s="322" t="s">
        <v>283</v>
      </c>
      <c r="F4" s="321"/>
      <c r="G4" s="322" t="s">
        <v>283</v>
      </c>
      <c r="H4" s="321"/>
      <c r="I4" s="308"/>
      <c r="J4" s="310"/>
    </row>
    <row r="5" spans="1:18" ht="23.25" customHeight="1">
      <c r="A5" s="145" t="s">
        <v>109</v>
      </c>
      <c r="B5" s="314" t="s">
        <v>104</v>
      </c>
      <c r="C5" s="314" t="s">
        <v>211</v>
      </c>
      <c r="D5" s="315"/>
      <c r="E5" s="175" t="s">
        <v>283</v>
      </c>
      <c r="F5" s="315"/>
      <c r="G5" s="175" t="s">
        <v>283</v>
      </c>
      <c r="H5" s="315"/>
      <c r="I5" s="308"/>
    </row>
    <row r="6" spans="1:18" ht="23.25" customHeight="1">
      <c r="A6" s="145" t="s">
        <v>110</v>
      </c>
      <c r="B6" s="314"/>
      <c r="C6" s="314"/>
      <c r="D6" s="315"/>
      <c r="E6" s="175" t="s">
        <v>283</v>
      </c>
      <c r="F6" s="315"/>
      <c r="G6" s="175" t="s">
        <v>283</v>
      </c>
      <c r="H6" s="315"/>
      <c r="I6" s="308"/>
    </row>
    <row r="7" spans="1:18" ht="23.25" customHeight="1">
      <c r="A7" s="145" t="s">
        <v>111</v>
      </c>
      <c r="B7" s="314"/>
      <c r="C7" s="314"/>
      <c r="D7" s="315"/>
      <c r="E7" s="175" t="s">
        <v>283</v>
      </c>
      <c r="F7" s="315"/>
      <c r="G7" s="175" t="s">
        <v>283</v>
      </c>
      <c r="H7" s="315"/>
      <c r="I7" s="308"/>
    </row>
    <row r="8" spans="1:18" ht="23.25" customHeight="1">
      <c r="A8" s="142"/>
      <c r="B8" s="142"/>
      <c r="C8" s="142"/>
      <c r="D8" s="142"/>
      <c r="E8" s="142"/>
      <c r="F8" s="142"/>
      <c r="G8" s="142"/>
      <c r="H8" s="176" t="s">
        <v>206</v>
      </c>
    </row>
    <row r="9" spans="1:18" ht="23.25" customHeight="1">
      <c r="A9" s="142"/>
      <c r="B9" s="142"/>
      <c r="C9" s="142"/>
      <c r="D9" s="142"/>
      <c r="E9" s="142"/>
      <c r="F9" s="142"/>
      <c r="G9" s="142"/>
      <c r="H9" s="313"/>
    </row>
    <row r="10" spans="1:18" ht="23.25" customHeight="1">
      <c r="A10" s="142"/>
      <c r="B10" s="142"/>
      <c r="C10" s="142"/>
      <c r="D10" s="142"/>
      <c r="E10" s="142"/>
      <c r="F10" s="142"/>
      <c r="G10" s="142"/>
      <c r="H10" s="312"/>
    </row>
    <row r="11" spans="1:18" ht="23.25" customHeight="1">
      <c r="A11" s="142"/>
      <c r="B11" s="142"/>
      <c r="C11" s="142"/>
      <c r="D11" s="142"/>
      <c r="E11" s="142"/>
      <c r="F11" s="142"/>
      <c r="G11" s="142"/>
      <c r="H11" s="312"/>
    </row>
    <row r="12" spans="1:18" ht="23.25" customHeight="1">
      <c r="A12" s="142"/>
      <c r="B12" s="142"/>
      <c r="C12" s="142"/>
      <c r="D12" s="142"/>
      <c r="E12" s="142"/>
      <c r="F12" s="142"/>
      <c r="G12" s="142"/>
      <c r="H12" s="312"/>
    </row>
    <row r="13" spans="1:18" ht="23.25" customHeight="1">
      <c r="A13" s="142"/>
      <c r="B13" s="142"/>
      <c r="C13" s="142"/>
      <c r="D13" s="142"/>
      <c r="E13" s="142"/>
      <c r="F13" s="142"/>
      <c r="G13" s="142"/>
      <c r="H13" s="312"/>
    </row>
    <row r="14" spans="1:18" ht="23.25" customHeight="1">
      <c r="A14" s="142"/>
      <c r="B14" s="142"/>
      <c r="C14" s="142"/>
      <c r="D14" s="142"/>
      <c r="E14" s="142"/>
      <c r="F14" s="142"/>
      <c r="G14" s="142"/>
      <c r="H14" s="312"/>
    </row>
    <row r="15" spans="1:18" ht="23.25" customHeight="1">
      <c r="A15" s="149"/>
      <c r="B15" s="150"/>
      <c r="C15" s="151" t="s">
        <v>11</v>
      </c>
      <c r="D15" s="151" t="s">
        <v>13</v>
      </c>
      <c r="E15" s="151" t="s">
        <v>12</v>
      </c>
      <c r="F15" s="142"/>
      <c r="I15" s="311"/>
    </row>
    <row r="16" spans="1:18" ht="23.25" customHeight="1">
      <c r="A16" s="149"/>
      <c r="B16" s="151" t="s">
        <v>14</v>
      </c>
      <c r="C16" s="152">
        <v>140000</v>
      </c>
      <c r="D16" s="152">
        <v>50000</v>
      </c>
      <c r="E16" s="152">
        <v>40000</v>
      </c>
      <c r="F16" s="142"/>
      <c r="I16" s="311"/>
      <c r="R16" s="110"/>
    </row>
    <row r="17" spans="1:19" ht="23.25" customHeight="1">
      <c r="A17" s="149"/>
      <c r="B17" s="151" t="s">
        <v>15</v>
      </c>
      <c r="C17" s="152">
        <v>60000</v>
      </c>
      <c r="D17" s="152">
        <v>20000</v>
      </c>
      <c r="E17" s="152">
        <v>30000</v>
      </c>
      <c r="F17" s="336" t="s">
        <v>285</v>
      </c>
      <c r="G17" s="338"/>
      <c r="H17" s="338"/>
      <c r="I17" s="311"/>
      <c r="R17" s="110"/>
    </row>
    <row r="18" spans="1:19" ht="23.25" customHeight="1">
      <c r="A18" s="149"/>
      <c r="B18" s="151" t="s">
        <v>16</v>
      </c>
      <c r="C18" s="152">
        <v>30000</v>
      </c>
      <c r="D18" s="152">
        <v>10000</v>
      </c>
      <c r="E18" s="152"/>
      <c r="F18" s="336" t="s">
        <v>286</v>
      </c>
      <c r="G18" s="337"/>
      <c r="I18" s="311"/>
      <c r="R18" s="110"/>
    </row>
    <row r="19" spans="1:19" ht="23.25" customHeight="1" thickBot="1">
      <c r="A19" s="149"/>
      <c r="B19" s="153" t="s">
        <v>25</v>
      </c>
      <c r="C19" s="154">
        <v>0</v>
      </c>
      <c r="D19" s="154">
        <v>0</v>
      </c>
      <c r="E19" s="154">
        <v>0</v>
      </c>
      <c r="F19" s="142"/>
      <c r="I19" s="311"/>
      <c r="R19" s="110"/>
    </row>
    <row r="20" spans="1:19" ht="23.25" customHeight="1" thickTop="1" thickBot="1">
      <c r="A20" s="149"/>
      <c r="B20" s="155" t="s">
        <v>17</v>
      </c>
      <c r="C20" s="156">
        <f>SUM(C16:C19)</f>
        <v>230000</v>
      </c>
      <c r="D20" s="156">
        <f t="shared" ref="D20:E20" si="0">SUM(D16:D19)</f>
        <v>80000</v>
      </c>
      <c r="E20" s="156">
        <f t="shared" si="0"/>
        <v>70000</v>
      </c>
      <c r="F20" s="142"/>
      <c r="I20" s="311"/>
      <c r="R20" s="110"/>
    </row>
    <row r="21" spans="1:19" ht="23.25" customHeight="1" thickTop="1" thickBot="1">
      <c r="A21" s="149"/>
      <c r="B21" s="157" t="s">
        <v>20</v>
      </c>
      <c r="C21" s="333">
        <f>SUM(C20:E20)</f>
        <v>380000</v>
      </c>
      <c r="D21" s="334"/>
      <c r="E21" s="335"/>
      <c r="F21" s="142"/>
      <c r="G21" s="142"/>
      <c r="S21" s="110"/>
    </row>
    <row r="22" spans="1:19" ht="14.25" thickTop="1">
      <c r="A22" s="51"/>
    </row>
  </sheetData>
  <sheetProtection algorithmName="SHA-512" hashValue="Ni3P+PWuhmAAuDdS+RG50rsMUeeAxxhbzaTKDRvqCLu5stT6p1+QrBnI9ip2TntsLldPtTAjZck2Ntb9e8h2aw==" saltValue="GNYt4dr78JCCiq3fFd7qOg==" spinCount="100000" sheet="1" objects="1" scenarios="1"/>
  <mergeCells count="3">
    <mergeCell ref="F17:H17"/>
    <mergeCell ref="F18:G18"/>
    <mergeCell ref="C21:E21"/>
  </mergeCells>
  <phoneticPr fontId="2"/>
  <conditionalFormatting sqref="J4">
    <cfRule type="cellIs" dxfId="0" priority="1" operator="equal">
      <formula>"黄色セルチェックNG"</formula>
    </cfRule>
  </conditionalFormatting>
  <pageMargins left="0.7" right="0.7" top="0.75" bottom="0.75" header="0.3" footer="0.3"/>
  <pageSetup paperSize="9"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試算シート</vt:lpstr>
      <vt:lpstr>計算</vt:lpstr>
      <vt:lpstr>印刷</vt:lpstr>
      <vt:lpstr>入力の説明</vt:lpstr>
      <vt:lpstr>印刷!Print_Area</vt:lpstr>
      <vt:lpstr>計算!Print_Area</vt:lpstr>
      <vt:lpstr>試算シート!Print_Area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2024-02-22T00:29:35Z</cp:lastPrinted>
  <dcterms:created xsi:type="dcterms:W3CDTF">2020-02-27T06:25:20Z</dcterms:created>
  <dcterms:modified xsi:type="dcterms:W3CDTF">2025-02-21T07:12:25Z</dcterms:modified>
</cp:coreProperties>
</file>