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63DF81DF-4013-4E44-9BC5-F762E7185376}" xr6:coauthVersionLast="47" xr6:coauthVersionMax="47" xr10:uidLastSave="{00000000-0000-0000-0000-000000000000}"/>
  <workbookProtection workbookAlgorithmName="SHA-512" workbookHashValue="0xIxlse+Obs6qTqqcI4gVsjRQzC/a3uB4PYtb/A68wtzo6TjmPgwkbGa44Ob+c/04kxJmC1n4Mwpv4JTIHPf3g==" workbookSaltValue="1TIvlAnwfjrlIUkjvXDe+A==" workbookSpinCount="100000" lockStructure="1"/>
  <bookViews>
    <workbookView xWindow="-120" yWindow="-120" windowWidth="20730" windowHeight="11040" tabRatio="579" firstSheet="1" activeTab="1" xr2:uid="{00000000-000D-0000-FFFF-FFFF00000000}"/>
  </bookViews>
  <sheets>
    <sheet name="留意事項" sheetId="24" state="hidden" r:id="rId1"/>
    <sheet name="入札額積算資料・見積書" sheetId="19" r:id="rId2"/>
    <sheet name="バックデータ" sheetId="15" state="hidden" r:id="rId3"/>
    <sheet name="支出負担行為整理簿（乙）別紙" sheetId="23" state="hidden" r:id="rId4"/>
  </sheets>
  <definedNames>
    <definedName name="_Fill" hidden="1">#REF!</definedName>
    <definedName name="_xlnm._FilterDatabase" localSheetId="3" hidden="1">'支出負担行為整理簿（乙）別紙'!$A$1:$C$46</definedName>
    <definedName name="_Hlk113450659" localSheetId="2">バックデータ!#REF!</definedName>
    <definedName name="A">バックデータ!$AU$2:$AU$6</definedName>
    <definedName name="B">バックデータ!$AV$2:$AV$6</definedName>
    <definedName name="_xlnm.Print_Area" localSheetId="3">'支出負担行為整理簿（乙）別紙'!$A$1:$BB$67</definedName>
    <definedName name="_xlnm.Print_Area" localSheetId="1">入札額積算資料・見積書!$A$1:$H$125</definedName>
    <definedName name="すくすく教室登録児童数等">バックデータ!$I$2:$I$11</definedName>
    <definedName name="業務名">バックデータ!$AY$2:$AY$5</definedName>
    <definedName name="堺区B">バックデータ!$AU$2:$AU$7</definedName>
    <definedName name="西区B">バックデータ!$AV$2:$AV$7</definedName>
    <definedName name="中区A">バックデータ!$AW$2:$AW$6</definedName>
    <definedName name="美原区">バックデータ!$AX$2:$AX$7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1" i="19" l="1"/>
  <c r="F117" i="19"/>
  <c r="F99" i="19"/>
  <c r="F95" i="19"/>
  <c r="F77" i="19"/>
  <c r="F73" i="19"/>
  <c r="F55" i="19"/>
  <c r="F51" i="19"/>
  <c r="A49" i="19"/>
  <c r="A27" i="19"/>
  <c r="F33" i="19"/>
  <c r="F29" i="19"/>
  <c r="H21" i="19" l="1"/>
  <c r="H22" i="19"/>
  <c r="H23" i="19"/>
  <c r="H24" i="19"/>
  <c r="H25" i="19"/>
  <c r="H20" i="19"/>
  <c r="B21" i="19"/>
  <c r="B22" i="19"/>
  <c r="B23" i="19"/>
  <c r="B24" i="19"/>
  <c r="B25" i="19"/>
  <c r="B20" i="19"/>
  <c r="D20" i="19" s="1"/>
  <c r="A11" i="19"/>
  <c r="J5" i="19"/>
  <c r="B35" i="19" l="1"/>
  <c r="B34" i="19"/>
  <c r="B31" i="19"/>
  <c r="B30" i="19"/>
  <c r="M18" i="19" l="1"/>
  <c r="N18" i="19" s="1"/>
  <c r="M19" i="19"/>
  <c r="N19" i="19" s="1"/>
  <c r="M25" i="19"/>
  <c r="N25" i="19" s="1"/>
  <c r="M24" i="19"/>
  <c r="N24" i="19" s="1"/>
  <c r="M23" i="19"/>
  <c r="N23" i="19" s="1"/>
  <c r="M22" i="19"/>
  <c r="N22" i="19" s="1"/>
  <c r="M21" i="19"/>
  <c r="N21" i="19" s="1"/>
  <c r="M20" i="19"/>
  <c r="N20" i="19" s="1"/>
  <c r="P18" i="19"/>
  <c r="E13" i="19" l="1"/>
  <c r="A13" i="19"/>
  <c r="A125" i="19" l="1"/>
  <c r="A124" i="19"/>
  <c r="A115" i="19"/>
  <c r="A103" i="19"/>
  <c r="A102" i="19"/>
  <c r="A93" i="19"/>
  <c r="G84" i="19"/>
  <c r="A81" i="19"/>
  <c r="A80" i="19"/>
  <c r="A71" i="19"/>
  <c r="G62" i="19" l="1"/>
  <c r="A59" i="19" l="1"/>
  <c r="A58" i="19"/>
  <c r="A47" i="19" l="1"/>
  <c r="A46" i="19"/>
  <c r="A45" i="19"/>
  <c r="A44" i="19"/>
  <c r="A43" i="19"/>
  <c r="G40" i="19"/>
  <c r="A42" i="19"/>
  <c r="A37" i="19"/>
  <c r="B47" i="19" l="1"/>
  <c r="H47" i="19"/>
  <c r="H44" i="19"/>
  <c r="B44" i="19"/>
  <c r="H45" i="19"/>
  <c r="B45" i="19"/>
  <c r="H46" i="19"/>
  <c r="B46" i="19"/>
  <c r="H43" i="19"/>
  <c r="B43" i="19"/>
  <c r="C43" i="19" s="1"/>
  <c r="H42" i="19"/>
  <c r="B42" i="19"/>
  <c r="C42" i="19" s="1"/>
  <c r="A64" i="19"/>
  <c r="A68" i="19"/>
  <c r="A65" i="19"/>
  <c r="C44" i="19"/>
  <c r="A66" i="19"/>
  <c r="C45" i="19"/>
  <c r="G45" i="19" s="1"/>
  <c r="A67" i="19"/>
  <c r="C47" i="19"/>
  <c r="G47" i="19" s="1"/>
  <c r="A69" i="19"/>
  <c r="A36" i="19"/>
  <c r="A90" i="19" l="1"/>
  <c r="H90" i="19" s="1"/>
  <c r="H68" i="19"/>
  <c r="B68" i="19"/>
  <c r="A91" i="19"/>
  <c r="A113" i="19" s="1"/>
  <c r="H69" i="19"/>
  <c r="B69" i="19"/>
  <c r="C69" i="19" s="1"/>
  <c r="A89" i="19"/>
  <c r="B89" i="19" s="1"/>
  <c r="C89" i="19" s="1"/>
  <c r="B67" i="19"/>
  <c r="H67" i="19"/>
  <c r="A88" i="19"/>
  <c r="A110" i="19" s="1"/>
  <c r="B66" i="19"/>
  <c r="C66" i="19" s="1"/>
  <c r="H66" i="19"/>
  <c r="A112" i="19"/>
  <c r="B90" i="19"/>
  <c r="C90" i="19" s="1"/>
  <c r="A87" i="19"/>
  <c r="H65" i="19"/>
  <c r="B65" i="19"/>
  <c r="H64" i="19"/>
  <c r="B64" i="19"/>
  <c r="C64" i="19" s="1"/>
  <c r="G42" i="19"/>
  <c r="G43" i="19"/>
  <c r="G44" i="19"/>
  <c r="A86" i="19"/>
  <c r="C68" i="19"/>
  <c r="H48" i="19"/>
  <c r="C46" i="19"/>
  <c r="G46" i="19" s="1"/>
  <c r="G18" i="19"/>
  <c r="H91" i="19" l="1"/>
  <c r="B91" i="19"/>
  <c r="H89" i="19"/>
  <c r="A111" i="19"/>
  <c r="B111" i="19" s="1"/>
  <c r="C111" i="19" s="1"/>
  <c r="H88" i="19"/>
  <c r="B88" i="19"/>
  <c r="C88" i="19" s="1"/>
  <c r="B113" i="19"/>
  <c r="C113" i="19" s="1"/>
  <c r="G113" i="19" s="1"/>
  <c r="H113" i="19"/>
  <c r="H112" i="19"/>
  <c r="B112" i="19"/>
  <c r="C112" i="19" s="1"/>
  <c r="G112" i="19" s="1"/>
  <c r="H110" i="19"/>
  <c r="B110" i="19"/>
  <c r="C110" i="19" s="1"/>
  <c r="G110" i="19" s="1"/>
  <c r="A109" i="19"/>
  <c r="H87" i="19"/>
  <c r="B87" i="19"/>
  <c r="C87" i="19" s="1"/>
  <c r="A108" i="19"/>
  <c r="H86" i="19"/>
  <c r="B86" i="19"/>
  <c r="G48" i="19"/>
  <c r="G69" i="19"/>
  <c r="G89" i="19"/>
  <c r="G88" i="19"/>
  <c r="G68" i="19"/>
  <c r="G66" i="19"/>
  <c r="G90" i="19"/>
  <c r="H70" i="19"/>
  <c r="C91" i="19"/>
  <c r="G91" i="19" s="1"/>
  <c r="G64" i="19"/>
  <c r="C67" i="19"/>
  <c r="G67" i="19" s="1"/>
  <c r="C65" i="19"/>
  <c r="H111" i="19" l="1"/>
  <c r="G111" i="19"/>
  <c r="G87" i="19"/>
  <c r="H92" i="19"/>
  <c r="H109" i="19"/>
  <c r="B109" i="19"/>
  <c r="C109" i="19"/>
  <c r="G109" i="19" s="1"/>
  <c r="B108" i="19"/>
  <c r="C108" i="19" s="1"/>
  <c r="H108" i="19"/>
  <c r="C86" i="19"/>
  <c r="G86" i="19" s="1"/>
  <c r="G92" i="19" s="1"/>
  <c r="G65" i="19"/>
  <c r="G70" i="19" s="1"/>
  <c r="C25" i="19"/>
  <c r="C24" i="19"/>
  <c r="C23" i="19"/>
  <c r="G23" i="19" s="1"/>
  <c r="C22" i="19"/>
  <c r="C21" i="19"/>
  <c r="A105" i="19"/>
  <c r="A83" i="19"/>
  <c r="A61" i="19"/>
  <c r="A39" i="19"/>
  <c r="A17" i="19"/>
  <c r="A19" i="15" s="1"/>
  <c r="AR4" i="15"/>
  <c r="AS24" i="15"/>
  <c r="AR24" i="15"/>
  <c r="AP24" i="15"/>
  <c r="AS23" i="15"/>
  <c r="AR23" i="15"/>
  <c r="AS22" i="15"/>
  <c r="AR22" i="15"/>
  <c r="AS21" i="15"/>
  <c r="AR21" i="15"/>
  <c r="AP21" i="15"/>
  <c r="AS20" i="15"/>
  <c r="AR20" i="15"/>
  <c r="AP20" i="15"/>
  <c r="AS19" i="15"/>
  <c r="AR19" i="15"/>
  <c r="AP19" i="15"/>
  <c r="AS18" i="15"/>
  <c r="AR18" i="15"/>
  <c r="AP18" i="15"/>
  <c r="AS17" i="15"/>
  <c r="AR17" i="15"/>
  <c r="AP17" i="15"/>
  <c r="AS16" i="15"/>
  <c r="AR16" i="15"/>
  <c r="AP16" i="15"/>
  <c r="AS15" i="15"/>
  <c r="AR15" i="15"/>
  <c r="AP15" i="15"/>
  <c r="AS14" i="15"/>
  <c r="AR14" i="15"/>
  <c r="AP14" i="15"/>
  <c r="AS13" i="15"/>
  <c r="AR13" i="15"/>
  <c r="AP13" i="15"/>
  <c r="AS12" i="15"/>
  <c r="AR12" i="15"/>
  <c r="AP12" i="15"/>
  <c r="AS11" i="15"/>
  <c r="AR11" i="15"/>
  <c r="AP11" i="15"/>
  <c r="AS10" i="15"/>
  <c r="AR10" i="15"/>
  <c r="AP10" i="15"/>
  <c r="AS9" i="15"/>
  <c r="AR9" i="15"/>
  <c r="AP9" i="15"/>
  <c r="AS8" i="15"/>
  <c r="AR8" i="15"/>
  <c r="AP8" i="15"/>
  <c r="AS7" i="15"/>
  <c r="AR7" i="15"/>
  <c r="AP7" i="15"/>
  <c r="AS6" i="15"/>
  <c r="AR6" i="15"/>
  <c r="AP6" i="15"/>
  <c r="AS5" i="15"/>
  <c r="AR5" i="15"/>
  <c r="AP5" i="15"/>
  <c r="AS4" i="15"/>
  <c r="AP4" i="15"/>
  <c r="AS3" i="15"/>
  <c r="AR3" i="15"/>
  <c r="AP3" i="15"/>
  <c r="AS2" i="15"/>
  <c r="AR2" i="15"/>
  <c r="AP2" i="15"/>
  <c r="AL24" i="15"/>
  <c r="AK24" i="15"/>
  <c r="AI24" i="15"/>
  <c r="AL23" i="15"/>
  <c r="AK23" i="15"/>
  <c r="AL22" i="15"/>
  <c r="AK22" i="15"/>
  <c r="AL21" i="15"/>
  <c r="AK21" i="15"/>
  <c r="AI21" i="15"/>
  <c r="AL20" i="15"/>
  <c r="AK20" i="15"/>
  <c r="AI20" i="15"/>
  <c r="AL19" i="15"/>
  <c r="AK19" i="15"/>
  <c r="AI19" i="15"/>
  <c r="AL18" i="15"/>
  <c r="AK18" i="15"/>
  <c r="AI18" i="15"/>
  <c r="AL17" i="15"/>
  <c r="AK17" i="15"/>
  <c r="AI17" i="15"/>
  <c r="AL16" i="15"/>
  <c r="AK16" i="15"/>
  <c r="AI16" i="15"/>
  <c r="AL15" i="15"/>
  <c r="AK15" i="15"/>
  <c r="AI15" i="15"/>
  <c r="AL14" i="15"/>
  <c r="AK14" i="15"/>
  <c r="AI14" i="15"/>
  <c r="AL13" i="15"/>
  <c r="AK13" i="15"/>
  <c r="AI13" i="15"/>
  <c r="AL12" i="15"/>
  <c r="AK12" i="15"/>
  <c r="AI12" i="15"/>
  <c r="AL11" i="15"/>
  <c r="AK11" i="15"/>
  <c r="AI11" i="15"/>
  <c r="AL10" i="15"/>
  <c r="AK10" i="15"/>
  <c r="AI10" i="15"/>
  <c r="AL9" i="15"/>
  <c r="AK9" i="15"/>
  <c r="AI9" i="15"/>
  <c r="AL8" i="15"/>
  <c r="AK8" i="15"/>
  <c r="AI8" i="15"/>
  <c r="AL7" i="15"/>
  <c r="AK7" i="15"/>
  <c r="AI7" i="15"/>
  <c r="AL6" i="15"/>
  <c r="AK6" i="15"/>
  <c r="AI6" i="15"/>
  <c r="AL5" i="15"/>
  <c r="AK5" i="15"/>
  <c r="AI5" i="15"/>
  <c r="AL4" i="15"/>
  <c r="AK4" i="15"/>
  <c r="AI4" i="15"/>
  <c r="AL3" i="15"/>
  <c r="AK3" i="15"/>
  <c r="AI3" i="15"/>
  <c r="AL2" i="15"/>
  <c r="AK2" i="15"/>
  <c r="AI2" i="15"/>
  <c r="AE24" i="15"/>
  <c r="AD24" i="15"/>
  <c r="AB24" i="15"/>
  <c r="AE23" i="15"/>
  <c r="AD23" i="15"/>
  <c r="AE22" i="15"/>
  <c r="AD22" i="15"/>
  <c r="AE21" i="15"/>
  <c r="AD21" i="15"/>
  <c r="AB21" i="15"/>
  <c r="AE20" i="15"/>
  <c r="AD20" i="15"/>
  <c r="AB20" i="15"/>
  <c r="AE19" i="15"/>
  <c r="AD19" i="15"/>
  <c r="AB19" i="15"/>
  <c r="AE18" i="15"/>
  <c r="AD18" i="15"/>
  <c r="AB18" i="15"/>
  <c r="AE17" i="15"/>
  <c r="AD17" i="15"/>
  <c r="AB17" i="15"/>
  <c r="AE16" i="15"/>
  <c r="AD16" i="15"/>
  <c r="AB16" i="15"/>
  <c r="AE15" i="15"/>
  <c r="AD15" i="15"/>
  <c r="AB15" i="15"/>
  <c r="AE14" i="15"/>
  <c r="AD14" i="15"/>
  <c r="AB14" i="15"/>
  <c r="AE13" i="15"/>
  <c r="AD13" i="15"/>
  <c r="AB13" i="15"/>
  <c r="AE12" i="15"/>
  <c r="AD12" i="15"/>
  <c r="AB12" i="15"/>
  <c r="AE11" i="15"/>
  <c r="AD11" i="15"/>
  <c r="AB11" i="15"/>
  <c r="AE10" i="15"/>
  <c r="AD10" i="15"/>
  <c r="AB10" i="15"/>
  <c r="AE9" i="15"/>
  <c r="AD9" i="15"/>
  <c r="AB9" i="15"/>
  <c r="AE8" i="15"/>
  <c r="AD8" i="15"/>
  <c r="AB8" i="15"/>
  <c r="AE7" i="15"/>
  <c r="AD7" i="15"/>
  <c r="AB7" i="15"/>
  <c r="AE6" i="15"/>
  <c r="AD6" i="15"/>
  <c r="AB6" i="15"/>
  <c r="AE5" i="15"/>
  <c r="AD5" i="15"/>
  <c r="AB5" i="15"/>
  <c r="AE4" i="15"/>
  <c r="AD4" i="15"/>
  <c r="AB4" i="15"/>
  <c r="AE3" i="15"/>
  <c r="AD3" i="15"/>
  <c r="AB3" i="15"/>
  <c r="AE2" i="15"/>
  <c r="AD2" i="15"/>
  <c r="AB2" i="15"/>
  <c r="X24" i="15"/>
  <c r="W24" i="15"/>
  <c r="U24" i="15"/>
  <c r="X23" i="15"/>
  <c r="W23" i="15"/>
  <c r="X22" i="15"/>
  <c r="W22" i="15"/>
  <c r="X21" i="15"/>
  <c r="W21" i="15"/>
  <c r="U21" i="15"/>
  <c r="X20" i="15"/>
  <c r="W20" i="15"/>
  <c r="U20" i="15"/>
  <c r="X19" i="15"/>
  <c r="W19" i="15"/>
  <c r="U19" i="15"/>
  <c r="X18" i="15"/>
  <c r="W18" i="15"/>
  <c r="U18" i="15"/>
  <c r="X17" i="15"/>
  <c r="W17" i="15"/>
  <c r="U17" i="15"/>
  <c r="X16" i="15"/>
  <c r="W16" i="15"/>
  <c r="U16" i="15"/>
  <c r="X15" i="15"/>
  <c r="W15" i="15"/>
  <c r="U15" i="15"/>
  <c r="X14" i="15"/>
  <c r="W14" i="15"/>
  <c r="U14" i="15"/>
  <c r="X13" i="15"/>
  <c r="W13" i="15"/>
  <c r="U13" i="15"/>
  <c r="X12" i="15"/>
  <c r="W12" i="15"/>
  <c r="U12" i="15"/>
  <c r="X11" i="15"/>
  <c r="W11" i="15"/>
  <c r="U11" i="15"/>
  <c r="X10" i="15"/>
  <c r="W10" i="15"/>
  <c r="U10" i="15"/>
  <c r="X9" i="15"/>
  <c r="W9" i="15"/>
  <c r="U9" i="15"/>
  <c r="X8" i="15"/>
  <c r="W8" i="15"/>
  <c r="U8" i="15"/>
  <c r="X7" i="15"/>
  <c r="W7" i="15"/>
  <c r="U7" i="15"/>
  <c r="X6" i="15"/>
  <c r="W6" i="15"/>
  <c r="U6" i="15"/>
  <c r="X5" i="15"/>
  <c r="W5" i="15"/>
  <c r="U5" i="15"/>
  <c r="X4" i="15"/>
  <c r="W4" i="15"/>
  <c r="U4" i="15"/>
  <c r="X3" i="15"/>
  <c r="W3" i="15"/>
  <c r="U3" i="15"/>
  <c r="X2" i="15"/>
  <c r="W2" i="15"/>
  <c r="U2" i="15"/>
  <c r="P22" i="15"/>
  <c r="Q22" i="15"/>
  <c r="P11" i="15"/>
  <c r="Q11" i="15"/>
  <c r="P6" i="15"/>
  <c r="Q6" i="15"/>
  <c r="N11" i="15"/>
  <c r="N6" i="15"/>
  <c r="N2" i="15"/>
  <c r="P19" i="15"/>
  <c r="N19" i="15"/>
  <c r="A3" i="19"/>
  <c r="G108" i="19" l="1"/>
  <c r="G114" i="19" s="1"/>
  <c r="H114" i="19"/>
  <c r="G22" i="19"/>
  <c r="C20" i="19"/>
  <c r="G20" i="19" s="1"/>
  <c r="G25" i="19"/>
  <c r="G24" i="19"/>
  <c r="G21" i="19"/>
  <c r="A15" i="19"/>
  <c r="G26" i="19" l="1"/>
  <c r="AF6" i="23" s="1"/>
  <c r="C57" i="19"/>
  <c r="C123" i="19"/>
  <c r="C101" i="19"/>
  <c r="F25" i="24"/>
  <c r="D25" i="24"/>
  <c r="AF10" i="23" l="1"/>
  <c r="AF7" i="23"/>
  <c r="AF14" i="23"/>
  <c r="AF11" i="23"/>
  <c r="AF15" i="23"/>
  <c r="AF9" i="23"/>
  <c r="AF16" i="23"/>
  <c r="AF5" i="23"/>
  <c r="AF13" i="23"/>
  <c r="AF12" i="23"/>
  <c r="AF8" i="23"/>
  <c r="E153" i="15"/>
  <c r="D153" i="15"/>
  <c r="C153" i="15"/>
  <c r="B153" i="15"/>
  <c r="A153" i="15"/>
  <c r="A152" i="15"/>
  <c r="E149" i="15"/>
  <c r="D149" i="15"/>
  <c r="C149" i="15"/>
  <c r="B149" i="15"/>
  <c r="A149" i="15"/>
  <c r="A148" i="15"/>
  <c r="E125" i="15"/>
  <c r="D125" i="15"/>
  <c r="C125" i="15"/>
  <c r="B125" i="15"/>
  <c r="A125" i="15"/>
  <c r="A124" i="15"/>
  <c r="E121" i="15"/>
  <c r="D121" i="15"/>
  <c r="C121" i="15"/>
  <c r="B121" i="15"/>
  <c r="A121" i="15"/>
  <c r="A120" i="15"/>
  <c r="I128" i="15"/>
  <c r="E97" i="15"/>
  <c r="D97" i="15"/>
  <c r="C97" i="15"/>
  <c r="B97" i="15"/>
  <c r="A97" i="15"/>
  <c r="A96" i="15"/>
  <c r="E93" i="15"/>
  <c r="D93" i="15"/>
  <c r="C93" i="15"/>
  <c r="C79" i="19" s="1"/>
  <c r="B93" i="15"/>
  <c r="A93" i="15"/>
  <c r="A92" i="15"/>
  <c r="I100" i="15"/>
  <c r="I72" i="15"/>
  <c r="E69" i="15"/>
  <c r="D69" i="15"/>
  <c r="C69" i="15"/>
  <c r="B69" i="15"/>
  <c r="A69" i="15"/>
  <c r="A68" i="15"/>
  <c r="E65" i="15"/>
  <c r="D65" i="15"/>
  <c r="C65" i="15"/>
  <c r="B65" i="15"/>
  <c r="A65" i="15"/>
  <c r="A64" i="15"/>
  <c r="E41" i="15"/>
  <c r="D41" i="15"/>
  <c r="C41" i="15"/>
  <c r="B41" i="15"/>
  <c r="A41" i="15"/>
  <c r="A40" i="15"/>
  <c r="I44" i="15"/>
  <c r="A157" i="15"/>
  <c r="A156" i="15"/>
  <c r="A129" i="15"/>
  <c r="A128" i="15"/>
  <c r="A101" i="15"/>
  <c r="A100" i="15"/>
  <c r="A44" i="15"/>
  <c r="A73" i="15"/>
  <c r="A72" i="15"/>
  <c r="A45" i="15"/>
  <c r="E37" i="15"/>
  <c r="D37" i="15"/>
  <c r="C37" i="15"/>
  <c r="B37" i="15"/>
  <c r="A37" i="15"/>
  <c r="A36" i="15"/>
  <c r="F149" i="15"/>
  <c r="F121" i="15"/>
  <c r="F93" i="15"/>
  <c r="F65" i="15"/>
  <c r="F153" i="15"/>
  <c r="F125" i="15"/>
  <c r="F97" i="15"/>
  <c r="F69" i="15"/>
  <c r="F41" i="15"/>
  <c r="F37" i="15"/>
  <c r="A71" i="15" l="1"/>
  <c r="B57" i="19" s="1"/>
  <c r="A70" i="15"/>
  <c r="B56" i="19" s="1"/>
  <c r="A67" i="15"/>
  <c r="B53" i="19" s="1"/>
  <c r="A66" i="15"/>
  <c r="B52" i="19" s="1"/>
  <c r="A99" i="15" l="1"/>
  <c r="B79" i="19" s="1"/>
  <c r="A95" i="15"/>
  <c r="B75" i="19" s="1"/>
  <c r="A98" i="15"/>
  <c r="B78" i="19" s="1"/>
  <c r="A94" i="15"/>
  <c r="B74" i="19" s="1"/>
  <c r="A122" i="15" l="1"/>
  <c r="B96" i="19" s="1"/>
  <c r="A126" i="15"/>
  <c r="B100" i="19" s="1"/>
  <c r="E78" i="19"/>
  <c r="A123" i="15"/>
  <c r="B97" i="19" s="1"/>
  <c r="A127" i="15"/>
  <c r="B101" i="19" s="1"/>
  <c r="E30" i="19"/>
  <c r="E31" i="19"/>
  <c r="D34" i="19"/>
  <c r="D35" i="19"/>
  <c r="A151" i="15" l="1"/>
  <c r="B119" i="19" s="1"/>
  <c r="A155" i="15"/>
  <c r="B123" i="19" s="1"/>
  <c r="A154" i="15"/>
  <c r="B122" i="19" s="1"/>
  <c r="A150" i="15"/>
  <c r="B118" i="19" s="1"/>
  <c r="E75" i="19"/>
  <c r="D75" i="19"/>
  <c r="D78" i="19"/>
  <c r="H78" i="19" s="1"/>
  <c r="E74" i="19"/>
  <c r="D74" i="19"/>
  <c r="E34" i="19"/>
  <c r="H34" i="19" s="1"/>
  <c r="E79" i="19"/>
  <c r="D79" i="19"/>
  <c r="D57" i="19"/>
  <c r="E57" i="19"/>
  <c r="E52" i="19"/>
  <c r="D52" i="19"/>
  <c r="E35" i="19"/>
  <c r="H35" i="19" s="1"/>
  <c r="E53" i="19"/>
  <c r="D53" i="19"/>
  <c r="E56" i="19"/>
  <c r="D56" i="19"/>
  <c r="H132" i="15"/>
  <c r="A145" i="15"/>
  <c r="A144" i="15"/>
  <c r="A117" i="15"/>
  <c r="A116" i="15"/>
  <c r="A89" i="15"/>
  <c r="A88" i="15"/>
  <c r="A61" i="15"/>
  <c r="A60" i="15"/>
  <c r="I133" i="15"/>
  <c r="H133" i="15"/>
  <c r="G133" i="15"/>
  <c r="F133" i="15"/>
  <c r="E133" i="15"/>
  <c r="D133" i="15"/>
  <c r="C133" i="15"/>
  <c r="B133" i="15"/>
  <c r="A133" i="15"/>
  <c r="I132" i="15"/>
  <c r="G132" i="15"/>
  <c r="F132" i="15"/>
  <c r="E132" i="15"/>
  <c r="D132" i="15"/>
  <c r="C132" i="15"/>
  <c r="B132" i="15"/>
  <c r="A132" i="15"/>
  <c r="I105" i="15"/>
  <c r="H105" i="15"/>
  <c r="G105" i="15"/>
  <c r="F105" i="15"/>
  <c r="E105" i="15"/>
  <c r="D105" i="15"/>
  <c r="C105" i="15"/>
  <c r="B105" i="15"/>
  <c r="A105" i="15"/>
  <c r="I104" i="15"/>
  <c r="G104" i="15"/>
  <c r="F104" i="15"/>
  <c r="E104" i="15"/>
  <c r="D104" i="15"/>
  <c r="C104" i="15"/>
  <c r="B104" i="15"/>
  <c r="A104" i="15"/>
  <c r="I77" i="15"/>
  <c r="H77" i="15"/>
  <c r="G77" i="15"/>
  <c r="F77" i="15"/>
  <c r="E77" i="15"/>
  <c r="D77" i="15"/>
  <c r="C77" i="15"/>
  <c r="B77" i="15"/>
  <c r="A77" i="15"/>
  <c r="I76" i="15"/>
  <c r="G76" i="15"/>
  <c r="F76" i="15"/>
  <c r="E76" i="15"/>
  <c r="D76" i="15"/>
  <c r="C76" i="15"/>
  <c r="B76" i="15"/>
  <c r="A76" i="15"/>
  <c r="I49" i="15"/>
  <c r="H49" i="15"/>
  <c r="G49" i="15"/>
  <c r="F49" i="15"/>
  <c r="E49" i="15"/>
  <c r="D49" i="15"/>
  <c r="C49" i="15"/>
  <c r="B49" i="15"/>
  <c r="A49" i="15"/>
  <c r="I48" i="15"/>
  <c r="G48" i="15"/>
  <c r="F48" i="15"/>
  <c r="E48" i="15"/>
  <c r="D48" i="15"/>
  <c r="C48" i="15"/>
  <c r="B48" i="15"/>
  <c r="A48" i="15"/>
  <c r="H74" i="19" l="1"/>
  <c r="H75" i="19"/>
  <c r="H53" i="19"/>
  <c r="H79" i="19"/>
  <c r="E118" i="19"/>
  <c r="D118" i="19"/>
  <c r="E122" i="19"/>
  <c r="D122" i="19"/>
  <c r="E123" i="19"/>
  <c r="D123" i="19"/>
  <c r="E119" i="19"/>
  <c r="D119" i="19"/>
  <c r="E100" i="19"/>
  <c r="D100" i="19"/>
  <c r="D101" i="19"/>
  <c r="E101" i="19"/>
  <c r="E96" i="19"/>
  <c r="D96" i="19"/>
  <c r="D97" i="19"/>
  <c r="E97" i="19"/>
  <c r="H57" i="19"/>
  <c r="H56" i="19"/>
  <c r="H52" i="19"/>
  <c r="A147" i="15"/>
  <c r="A146" i="15"/>
  <c r="A131" i="15"/>
  <c r="A119" i="15"/>
  <c r="A118" i="15"/>
  <c r="D108" i="19"/>
  <c r="H104" i="15"/>
  <c r="A103" i="15"/>
  <c r="A91" i="15"/>
  <c r="A90" i="15"/>
  <c r="H76" i="15"/>
  <c r="A75" i="15"/>
  <c r="N16" i="15"/>
  <c r="P17" i="15"/>
  <c r="Q2" i="15"/>
  <c r="P2" i="15"/>
  <c r="H48" i="15"/>
  <c r="A63" i="15"/>
  <c r="A62" i="15"/>
  <c r="A47" i="15"/>
  <c r="A35" i="15"/>
  <c r="I21" i="15"/>
  <c r="H21" i="15"/>
  <c r="G21" i="15"/>
  <c r="F21" i="15"/>
  <c r="E21" i="15"/>
  <c r="D21" i="15"/>
  <c r="C21" i="15"/>
  <c r="B21" i="15"/>
  <c r="I20" i="15"/>
  <c r="G20" i="15"/>
  <c r="F20" i="15"/>
  <c r="E20" i="15"/>
  <c r="D20" i="15"/>
  <c r="C20" i="15"/>
  <c r="B20" i="15"/>
  <c r="A21" i="15"/>
  <c r="A20" i="15"/>
  <c r="A32" i="15"/>
  <c r="A33" i="15"/>
  <c r="H118" i="19" l="1"/>
  <c r="H119" i="19"/>
  <c r="H122" i="19"/>
  <c r="H97" i="19"/>
  <c r="H123" i="19"/>
  <c r="AF17" i="23"/>
  <c r="D86" i="19"/>
  <c r="H101" i="19"/>
  <c r="H100" i="19"/>
  <c r="H96" i="19"/>
  <c r="D64" i="19"/>
  <c r="D42" i="19"/>
  <c r="H20" i="15"/>
  <c r="E40" i="23" l="1"/>
  <c r="E39" i="23"/>
  <c r="E38" i="23"/>
  <c r="E37" i="23"/>
  <c r="E36" i="23"/>
  <c r="E35" i="23"/>
  <c r="S32" i="23"/>
  <c r="T32" i="23" s="1"/>
  <c r="Q32" i="23"/>
  <c r="R32" i="23" s="1"/>
  <c r="O32" i="23"/>
  <c r="P32" i="23" s="1"/>
  <c r="M32" i="23"/>
  <c r="N32" i="23" s="1"/>
  <c r="K32" i="23"/>
  <c r="L32" i="23" s="1"/>
  <c r="I32" i="23"/>
  <c r="J32" i="23" s="1"/>
  <c r="G32" i="23"/>
  <c r="H32" i="23" s="1"/>
  <c r="E32" i="23"/>
  <c r="F32" i="23" s="1"/>
  <c r="C32" i="23"/>
  <c r="D32" i="23" s="1"/>
  <c r="S31" i="23"/>
  <c r="T31" i="23" s="1"/>
  <c r="Q31" i="23"/>
  <c r="R31" i="23" s="1"/>
  <c r="O31" i="23"/>
  <c r="P31" i="23" s="1"/>
  <c r="M31" i="23"/>
  <c r="N31" i="23" s="1"/>
  <c r="K31" i="23"/>
  <c r="L31" i="23" s="1"/>
  <c r="I31" i="23"/>
  <c r="J31" i="23" s="1"/>
  <c r="G31" i="23"/>
  <c r="H31" i="23" s="1"/>
  <c r="E31" i="23"/>
  <c r="F31" i="23" s="1"/>
  <c r="C31" i="23"/>
  <c r="D31" i="23" s="1"/>
  <c r="S30" i="23"/>
  <c r="T30" i="23" s="1"/>
  <c r="Q30" i="23"/>
  <c r="R30" i="23" s="1"/>
  <c r="O30" i="23"/>
  <c r="P30" i="23" s="1"/>
  <c r="M30" i="23"/>
  <c r="N30" i="23" s="1"/>
  <c r="K30" i="23"/>
  <c r="L30" i="23" s="1"/>
  <c r="I30" i="23"/>
  <c r="J30" i="23" s="1"/>
  <c r="G30" i="23"/>
  <c r="H30" i="23" s="1"/>
  <c r="E30" i="23"/>
  <c r="F30" i="23" s="1"/>
  <c r="C30" i="23"/>
  <c r="D30" i="23" s="1"/>
  <c r="S29" i="23"/>
  <c r="T29" i="23" s="1"/>
  <c r="Q29" i="23"/>
  <c r="R29" i="23" s="1"/>
  <c r="O29" i="23"/>
  <c r="P29" i="23" s="1"/>
  <c r="M29" i="23"/>
  <c r="N29" i="23" s="1"/>
  <c r="K29" i="23"/>
  <c r="L29" i="23" s="1"/>
  <c r="I29" i="23"/>
  <c r="J29" i="23" s="1"/>
  <c r="G29" i="23"/>
  <c r="H29" i="23" s="1"/>
  <c r="E29" i="23"/>
  <c r="F29" i="23" s="1"/>
  <c r="C29" i="23"/>
  <c r="D29" i="23" s="1"/>
  <c r="S28" i="23"/>
  <c r="T28" i="23" s="1"/>
  <c r="Q28" i="23"/>
  <c r="R28" i="23" s="1"/>
  <c r="O28" i="23"/>
  <c r="P28" i="23" s="1"/>
  <c r="M28" i="23"/>
  <c r="N28" i="23" s="1"/>
  <c r="K28" i="23"/>
  <c r="L28" i="23" s="1"/>
  <c r="I28" i="23"/>
  <c r="J28" i="23" s="1"/>
  <c r="G28" i="23"/>
  <c r="H28" i="23" s="1"/>
  <c r="E28" i="23"/>
  <c r="F28" i="23" s="1"/>
  <c r="C28" i="23"/>
  <c r="D28" i="23" s="1"/>
  <c r="S27" i="23"/>
  <c r="T27" i="23" s="1"/>
  <c r="Q27" i="23"/>
  <c r="R27" i="23" s="1"/>
  <c r="O27" i="23"/>
  <c r="P27" i="23" s="1"/>
  <c r="M27" i="23"/>
  <c r="N27" i="23" s="1"/>
  <c r="K27" i="23"/>
  <c r="L27" i="23" s="1"/>
  <c r="I27" i="23"/>
  <c r="J27" i="23" s="1"/>
  <c r="G27" i="23"/>
  <c r="H27" i="23" s="1"/>
  <c r="E27" i="23"/>
  <c r="F27" i="23" s="1"/>
  <c r="C27" i="23"/>
  <c r="D27" i="23" s="1"/>
  <c r="S26" i="23"/>
  <c r="T26" i="23" s="1"/>
  <c r="Q26" i="23"/>
  <c r="R26" i="23" s="1"/>
  <c r="O26" i="23"/>
  <c r="P26" i="23" s="1"/>
  <c r="M26" i="23"/>
  <c r="N26" i="23" s="1"/>
  <c r="K26" i="23"/>
  <c r="L26" i="23" s="1"/>
  <c r="I26" i="23"/>
  <c r="J26" i="23" s="1"/>
  <c r="G26" i="23"/>
  <c r="H26" i="23" s="1"/>
  <c r="E26" i="23"/>
  <c r="F26" i="23" s="1"/>
  <c r="C26" i="23"/>
  <c r="D26" i="23" s="1"/>
  <c r="S25" i="23"/>
  <c r="T25" i="23" s="1"/>
  <c r="Q25" i="23"/>
  <c r="R25" i="23" s="1"/>
  <c r="O25" i="23"/>
  <c r="P25" i="23" s="1"/>
  <c r="M25" i="23"/>
  <c r="N25" i="23" s="1"/>
  <c r="K25" i="23"/>
  <c r="L25" i="23" s="1"/>
  <c r="I25" i="23"/>
  <c r="J25" i="23" s="1"/>
  <c r="G25" i="23"/>
  <c r="H25" i="23" s="1"/>
  <c r="E25" i="23"/>
  <c r="F25" i="23" s="1"/>
  <c r="C25" i="23"/>
  <c r="D25" i="23" s="1"/>
  <c r="S24" i="23"/>
  <c r="T24" i="23" s="1"/>
  <c r="Q24" i="23"/>
  <c r="R24" i="23" s="1"/>
  <c r="O24" i="23"/>
  <c r="P24" i="23" s="1"/>
  <c r="M24" i="23"/>
  <c r="N24" i="23" s="1"/>
  <c r="K24" i="23"/>
  <c r="L24" i="23" s="1"/>
  <c r="I24" i="23"/>
  <c r="J24" i="23" s="1"/>
  <c r="G24" i="23"/>
  <c r="H24" i="23" s="1"/>
  <c r="E24" i="23"/>
  <c r="F24" i="23" s="1"/>
  <c r="C24" i="23"/>
  <c r="D24" i="23" s="1"/>
  <c r="S23" i="23"/>
  <c r="T23" i="23" s="1"/>
  <c r="Q23" i="23"/>
  <c r="R23" i="23" s="1"/>
  <c r="O23" i="23"/>
  <c r="P23" i="23" s="1"/>
  <c r="M23" i="23"/>
  <c r="N23" i="23" s="1"/>
  <c r="K23" i="23"/>
  <c r="L23" i="23" s="1"/>
  <c r="I23" i="23"/>
  <c r="J23" i="23" s="1"/>
  <c r="G23" i="23"/>
  <c r="H23" i="23" s="1"/>
  <c r="E23" i="23"/>
  <c r="F23" i="23" s="1"/>
  <c r="C23" i="23"/>
  <c r="D23" i="23" s="1"/>
  <c r="S22" i="23"/>
  <c r="T22" i="23" s="1"/>
  <c r="Q22" i="23"/>
  <c r="R22" i="23" s="1"/>
  <c r="O22" i="23"/>
  <c r="P22" i="23" s="1"/>
  <c r="M22" i="23"/>
  <c r="N22" i="23" s="1"/>
  <c r="K22" i="23"/>
  <c r="L22" i="23" s="1"/>
  <c r="I22" i="23"/>
  <c r="J22" i="23" s="1"/>
  <c r="G22" i="23"/>
  <c r="H22" i="23" s="1"/>
  <c r="E22" i="23"/>
  <c r="F22" i="23" s="1"/>
  <c r="C22" i="23"/>
  <c r="D22" i="23" s="1"/>
  <c r="S21" i="23"/>
  <c r="T21" i="23" s="1"/>
  <c r="Q21" i="23"/>
  <c r="R21" i="23" s="1"/>
  <c r="O21" i="23"/>
  <c r="P21" i="23" s="1"/>
  <c r="M21" i="23"/>
  <c r="N21" i="23" s="1"/>
  <c r="K21" i="23"/>
  <c r="L21" i="23" s="1"/>
  <c r="I21" i="23"/>
  <c r="J21" i="23" s="1"/>
  <c r="G21" i="23"/>
  <c r="H21" i="23" s="1"/>
  <c r="E21" i="23"/>
  <c r="F21" i="23" s="1"/>
  <c r="C21" i="23"/>
  <c r="D21" i="23" s="1"/>
  <c r="S20" i="23"/>
  <c r="T20" i="23" s="1"/>
  <c r="Q20" i="23"/>
  <c r="R20" i="23" s="1"/>
  <c r="O20" i="23"/>
  <c r="P20" i="23" s="1"/>
  <c r="M20" i="23"/>
  <c r="N20" i="23" s="1"/>
  <c r="K20" i="23"/>
  <c r="L20" i="23" s="1"/>
  <c r="I20" i="23"/>
  <c r="J20" i="23" s="1"/>
  <c r="G20" i="23"/>
  <c r="H20" i="23" s="1"/>
  <c r="E20" i="23"/>
  <c r="F20" i="23" s="1"/>
  <c r="C20" i="23"/>
  <c r="D20" i="23" s="1"/>
  <c r="S19" i="23"/>
  <c r="T19" i="23" s="1"/>
  <c r="Q19" i="23"/>
  <c r="R19" i="23" s="1"/>
  <c r="O19" i="23"/>
  <c r="P19" i="23" s="1"/>
  <c r="M19" i="23"/>
  <c r="N19" i="23" s="1"/>
  <c r="K19" i="23"/>
  <c r="L19" i="23" s="1"/>
  <c r="I19" i="23"/>
  <c r="J19" i="23" s="1"/>
  <c r="G19" i="23"/>
  <c r="H19" i="23" s="1"/>
  <c r="E19" i="23"/>
  <c r="F19" i="23" s="1"/>
  <c r="C19" i="23"/>
  <c r="D19" i="23" s="1"/>
  <c r="S18" i="23"/>
  <c r="T18" i="23" s="1"/>
  <c r="Q18" i="23"/>
  <c r="R18" i="23" s="1"/>
  <c r="O18" i="23"/>
  <c r="P18" i="23" s="1"/>
  <c r="M18" i="23"/>
  <c r="N18" i="23" s="1"/>
  <c r="K18" i="23"/>
  <c r="L18" i="23" s="1"/>
  <c r="I18" i="23"/>
  <c r="J18" i="23" s="1"/>
  <c r="G18" i="23"/>
  <c r="H18" i="23" s="1"/>
  <c r="E18" i="23"/>
  <c r="F18" i="23" s="1"/>
  <c r="C18" i="23"/>
  <c r="D18" i="23" s="1"/>
  <c r="S17" i="23"/>
  <c r="T17" i="23" s="1"/>
  <c r="Q17" i="23"/>
  <c r="R17" i="23" s="1"/>
  <c r="O17" i="23"/>
  <c r="P17" i="23" s="1"/>
  <c r="M17" i="23"/>
  <c r="N17" i="23" s="1"/>
  <c r="K17" i="23"/>
  <c r="L17" i="23" s="1"/>
  <c r="I17" i="23"/>
  <c r="J17" i="23" s="1"/>
  <c r="G17" i="23"/>
  <c r="H17" i="23" s="1"/>
  <c r="E17" i="23"/>
  <c r="F17" i="23" s="1"/>
  <c r="C17" i="23"/>
  <c r="D17" i="23" s="1"/>
  <c r="S16" i="23"/>
  <c r="T16" i="23" s="1"/>
  <c r="Q16" i="23"/>
  <c r="R16" i="23" s="1"/>
  <c r="O16" i="23"/>
  <c r="P16" i="23" s="1"/>
  <c r="M16" i="23"/>
  <c r="N16" i="23" s="1"/>
  <c r="K16" i="23"/>
  <c r="L16" i="23" s="1"/>
  <c r="I16" i="23"/>
  <c r="J16" i="23" s="1"/>
  <c r="G16" i="23"/>
  <c r="H16" i="23" s="1"/>
  <c r="E16" i="23"/>
  <c r="F16" i="23" s="1"/>
  <c r="C16" i="23"/>
  <c r="D16" i="23" s="1"/>
  <c r="S15" i="23"/>
  <c r="T15" i="23" s="1"/>
  <c r="Q15" i="23"/>
  <c r="R15" i="23" s="1"/>
  <c r="O15" i="23"/>
  <c r="P15" i="23" s="1"/>
  <c r="M15" i="23"/>
  <c r="N15" i="23" s="1"/>
  <c r="K15" i="23"/>
  <c r="L15" i="23" s="1"/>
  <c r="I15" i="23"/>
  <c r="J15" i="23" s="1"/>
  <c r="G15" i="23"/>
  <c r="H15" i="23" s="1"/>
  <c r="E15" i="23"/>
  <c r="F15" i="23" s="1"/>
  <c r="C15" i="23"/>
  <c r="D15" i="23" s="1"/>
  <c r="S14" i="23"/>
  <c r="T14" i="23" s="1"/>
  <c r="Q14" i="23"/>
  <c r="R14" i="23" s="1"/>
  <c r="O14" i="23"/>
  <c r="P14" i="23" s="1"/>
  <c r="M14" i="23"/>
  <c r="N14" i="23" s="1"/>
  <c r="K14" i="23"/>
  <c r="L14" i="23" s="1"/>
  <c r="I14" i="23"/>
  <c r="J14" i="23" s="1"/>
  <c r="G14" i="23"/>
  <c r="H14" i="23" s="1"/>
  <c r="E14" i="23"/>
  <c r="F14" i="23" s="1"/>
  <c r="C14" i="23"/>
  <c r="D14" i="23" s="1"/>
  <c r="S13" i="23"/>
  <c r="T13" i="23" s="1"/>
  <c r="Q13" i="23"/>
  <c r="R13" i="23" s="1"/>
  <c r="O13" i="23"/>
  <c r="P13" i="23" s="1"/>
  <c r="M13" i="23"/>
  <c r="N13" i="23" s="1"/>
  <c r="K13" i="23"/>
  <c r="L13" i="23" s="1"/>
  <c r="I13" i="23"/>
  <c r="J13" i="23" s="1"/>
  <c r="G13" i="23"/>
  <c r="H13" i="23" s="1"/>
  <c r="E13" i="23"/>
  <c r="F13" i="23" s="1"/>
  <c r="C13" i="23"/>
  <c r="D13" i="23" s="1"/>
  <c r="S12" i="23"/>
  <c r="T12" i="23" s="1"/>
  <c r="Q12" i="23"/>
  <c r="R12" i="23" s="1"/>
  <c r="O12" i="23"/>
  <c r="P12" i="23" s="1"/>
  <c r="M12" i="23"/>
  <c r="N12" i="23" s="1"/>
  <c r="K12" i="23"/>
  <c r="L12" i="23" s="1"/>
  <c r="I12" i="23"/>
  <c r="J12" i="23" s="1"/>
  <c r="G12" i="23"/>
  <c r="H12" i="23" s="1"/>
  <c r="E12" i="23"/>
  <c r="F12" i="23" s="1"/>
  <c r="C12" i="23"/>
  <c r="D12" i="23" s="1"/>
  <c r="S11" i="23"/>
  <c r="T11" i="23" s="1"/>
  <c r="Q11" i="23"/>
  <c r="R11" i="23" s="1"/>
  <c r="O11" i="23"/>
  <c r="P11" i="23" s="1"/>
  <c r="M11" i="23"/>
  <c r="N11" i="23" s="1"/>
  <c r="K11" i="23"/>
  <c r="L11" i="23" s="1"/>
  <c r="I11" i="23"/>
  <c r="J11" i="23" s="1"/>
  <c r="G11" i="23"/>
  <c r="H11" i="23" s="1"/>
  <c r="E11" i="23"/>
  <c r="F11" i="23" s="1"/>
  <c r="C11" i="23"/>
  <c r="D11" i="23" s="1"/>
  <c r="S10" i="23"/>
  <c r="T10" i="23" s="1"/>
  <c r="Q10" i="23"/>
  <c r="R10" i="23" s="1"/>
  <c r="O10" i="23"/>
  <c r="P10" i="23" s="1"/>
  <c r="M10" i="23"/>
  <c r="N10" i="23" s="1"/>
  <c r="K10" i="23"/>
  <c r="L10" i="23" s="1"/>
  <c r="I10" i="23"/>
  <c r="J10" i="23" s="1"/>
  <c r="G10" i="23"/>
  <c r="H10" i="23" s="1"/>
  <c r="E10" i="23"/>
  <c r="F10" i="23" s="1"/>
  <c r="C10" i="23"/>
  <c r="D10" i="23" s="1"/>
  <c r="S9" i="23"/>
  <c r="T9" i="23" s="1"/>
  <c r="Q9" i="23"/>
  <c r="R9" i="23" s="1"/>
  <c r="O9" i="23"/>
  <c r="P9" i="23" s="1"/>
  <c r="M9" i="23"/>
  <c r="N9" i="23" s="1"/>
  <c r="K9" i="23"/>
  <c r="L9" i="23" s="1"/>
  <c r="I9" i="23"/>
  <c r="J9" i="23" s="1"/>
  <c r="G9" i="23"/>
  <c r="H9" i="23" s="1"/>
  <c r="E9" i="23"/>
  <c r="F9" i="23" s="1"/>
  <c r="C9" i="23"/>
  <c r="D9" i="23" s="1"/>
  <c r="S8" i="23"/>
  <c r="T8" i="23" s="1"/>
  <c r="Q8" i="23"/>
  <c r="R8" i="23" s="1"/>
  <c r="O8" i="23"/>
  <c r="P8" i="23" s="1"/>
  <c r="M8" i="23"/>
  <c r="N8" i="23" s="1"/>
  <c r="K8" i="23"/>
  <c r="L8" i="23" s="1"/>
  <c r="I8" i="23"/>
  <c r="J8" i="23" s="1"/>
  <c r="G8" i="23"/>
  <c r="H8" i="23" s="1"/>
  <c r="E8" i="23"/>
  <c r="F8" i="23" s="1"/>
  <c r="C8" i="23"/>
  <c r="D8" i="23" s="1"/>
  <c r="S7" i="23"/>
  <c r="T7" i="23" s="1"/>
  <c r="Q7" i="23"/>
  <c r="R7" i="23" s="1"/>
  <c r="O7" i="23"/>
  <c r="P7" i="23" s="1"/>
  <c r="M7" i="23"/>
  <c r="N7" i="23" s="1"/>
  <c r="K7" i="23"/>
  <c r="L7" i="23" s="1"/>
  <c r="I7" i="23"/>
  <c r="J7" i="23" s="1"/>
  <c r="G7" i="23"/>
  <c r="H7" i="23" s="1"/>
  <c r="E7" i="23"/>
  <c r="F7" i="23" s="1"/>
  <c r="C7" i="23"/>
  <c r="D7" i="23" s="1"/>
  <c r="S6" i="23"/>
  <c r="T6" i="23" s="1"/>
  <c r="Q6" i="23"/>
  <c r="R6" i="23" s="1"/>
  <c r="O6" i="23"/>
  <c r="P6" i="23" s="1"/>
  <c r="M6" i="23"/>
  <c r="N6" i="23" s="1"/>
  <c r="K6" i="23"/>
  <c r="L6" i="23" s="1"/>
  <c r="I6" i="23"/>
  <c r="J6" i="23" s="1"/>
  <c r="G6" i="23"/>
  <c r="H6" i="23" s="1"/>
  <c r="E6" i="23"/>
  <c r="F6" i="23" s="1"/>
  <c r="C6" i="23"/>
  <c r="D6" i="23" s="1"/>
  <c r="S5" i="23"/>
  <c r="T5" i="23" s="1"/>
  <c r="Q5" i="23"/>
  <c r="R5" i="23" s="1"/>
  <c r="O5" i="23"/>
  <c r="P5" i="23" s="1"/>
  <c r="M5" i="23"/>
  <c r="N5" i="23" s="1"/>
  <c r="K5" i="23"/>
  <c r="L5" i="23" s="1"/>
  <c r="I5" i="23"/>
  <c r="J5" i="23" s="1"/>
  <c r="G5" i="23"/>
  <c r="H5" i="23" s="1"/>
  <c r="E5" i="23"/>
  <c r="F5" i="23" s="1"/>
  <c r="C5" i="23"/>
  <c r="D5" i="23" s="1"/>
  <c r="S4" i="23"/>
  <c r="T4" i="23" s="1"/>
  <c r="Q4" i="23"/>
  <c r="R4" i="23" s="1"/>
  <c r="O4" i="23"/>
  <c r="P4" i="23" s="1"/>
  <c r="M4" i="23"/>
  <c r="N4" i="23" s="1"/>
  <c r="K4" i="23"/>
  <c r="L4" i="23" s="1"/>
  <c r="I4" i="23"/>
  <c r="J4" i="23" s="1"/>
  <c r="G4" i="23"/>
  <c r="H4" i="23" s="1"/>
  <c r="E4" i="23"/>
  <c r="F4" i="23" s="1"/>
  <c r="C4" i="23"/>
  <c r="D4" i="23" s="1"/>
  <c r="A4" i="23"/>
  <c r="W14" i="23" s="1"/>
  <c r="X14" i="23" s="1"/>
  <c r="S3" i="23"/>
  <c r="T3" i="23" s="1"/>
  <c r="Q3" i="23"/>
  <c r="R3" i="23" s="1"/>
  <c r="O3" i="23"/>
  <c r="P3" i="23" s="1"/>
  <c r="M3" i="23"/>
  <c r="N3" i="23" s="1"/>
  <c r="K3" i="23"/>
  <c r="L3" i="23" s="1"/>
  <c r="I3" i="23"/>
  <c r="J3" i="23" s="1"/>
  <c r="G3" i="23"/>
  <c r="H3" i="23" s="1"/>
  <c r="E3" i="23"/>
  <c r="F3" i="23" s="1"/>
  <c r="C3" i="23"/>
  <c r="D3" i="23" s="1"/>
  <c r="S2" i="23"/>
  <c r="T2" i="23" s="1"/>
  <c r="Q2" i="23"/>
  <c r="R2" i="23" s="1"/>
  <c r="O2" i="23"/>
  <c r="P2" i="23" s="1"/>
  <c r="M2" i="23"/>
  <c r="N2" i="23" s="1"/>
  <c r="K2" i="23"/>
  <c r="L2" i="23" s="1"/>
  <c r="I2" i="23"/>
  <c r="J2" i="23" s="1"/>
  <c r="G2" i="23"/>
  <c r="H2" i="23" s="1"/>
  <c r="E2" i="23"/>
  <c r="F2" i="23" s="1"/>
  <c r="C2" i="23"/>
  <c r="D2" i="23" s="1"/>
  <c r="W2" i="23" l="1"/>
  <c r="X2" i="23" s="1"/>
  <c r="D35" i="23"/>
  <c r="AE35" i="23" s="1"/>
  <c r="F35" i="23"/>
  <c r="AG35" i="23" s="1"/>
  <c r="U4" i="23"/>
  <c r="V4" i="23" s="1"/>
  <c r="U6" i="23"/>
  <c r="V6" i="23" s="1"/>
  <c r="W3" i="23"/>
  <c r="X3" i="23" s="1"/>
  <c r="W4" i="23"/>
  <c r="X4" i="23" s="1"/>
  <c r="U8" i="23"/>
  <c r="V8" i="23" s="1"/>
  <c r="U12" i="23"/>
  <c r="V12" i="23" s="1"/>
  <c r="U10" i="23"/>
  <c r="V10" i="23" s="1"/>
  <c r="Y17" i="23"/>
  <c r="Z17" i="23" s="1"/>
  <c r="U5" i="23"/>
  <c r="V5" i="23" s="1"/>
  <c r="U7" i="23"/>
  <c r="V7" i="23" s="1"/>
  <c r="U9" i="23"/>
  <c r="V9" i="23" s="1"/>
  <c r="U11" i="23"/>
  <c r="V11" i="23" s="1"/>
  <c r="U13" i="23"/>
  <c r="V13" i="23" s="1"/>
  <c r="Y21" i="23"/>
  <c r="Z21" i="23" s="1"/>
  <c r="W5" i="23"/>
  <c r="X5" i="23" s="1"/>
  <c r="W6" i="23"/>
  <c r="X6" i="23" s="1"/>
  <c r="W7" i="23"/>
  <c r="X7" i="23" s="1"/>
  <c r="W8" i="23"/>
  <c r="X8" i="23" s="1"/>
  <c r="W9" i="23"/>
  <c r="X9" i="23" s="1"/>
  <c r="W10" i="23"/>
  <c r="X10" i="23" s="1"/>
  <c r="W11" i="23"/>
  <c r="X11" i="23" s="1"/>
  <c r="W12" i="23"/>
  <c r="X12" i="23" s="1"/>
  <c r="W13" i="23"/>
  <c r="X13" i="23" s="1"/>
  <c r="W32" i="23"/>
  <c r="X32" i="23" s="1"/>
  <c r="Y32" i="23"/>
  <c r="Z32" i="23" s="1"/>
  <c r="U32" i="23"/>
  <c r="V32" i="23" s="1"/>
  <c r="Y31" i="23"/>
  <c r="Z31" i="23" s="1"/>
  <c r="U31" i="23"/>
  <c r="V31" i="23" s="1"/>
  <c r="W30" i="23"/>
  <c r="X30" i="23" s="1"/>
  <c r="Y29" i="23"/>
  <c r="Z29" i="23" s="1"/>
  <c r="U30" i="23"/>
  <c r="V30" i="23" s="1"/>
  <c r="U28" i="23"/>
  <c r="V28" i="23" s="1"/>
  <c r="Y30" i="23"/>
  <c r="Z30" i="23" s="1"/>
  <c r="W29" i="23"/>
  <c r="X29" i="23" s="1"/>
  <c r="Y28" i="23"/>
  <c r="Z28" i="23" s="1"/>
  <c r="W27" i="23"/>
  <c r="X27" i="23" s="1"/>
  <c r="Y26" i="23"/>
  <c r="Z26" i="23" s="1"/>
  <c r="W25" i="23"/>
  <c r="X25" i="23" s="1"/>
  <c r="Y24" i="23"/>
  <c r="Z24" i="23" s="1"/>
  <c r="U29" i="23"/>
  <c r="V29" i="23" s="1"/>
  <c r="Y27" i="23"/>
  <c r="Z27" i="23" s="1"/>
  <c r="W26" i="23"/>
  <c r="X26" i="23" s="1"/>
  <c r="U25" i="23"/>
  <c r="V25" i="23" s="1"/>
  <c r="U24" i="23"/>
  <c r="V24" i="23" s="1"/>
  <c r="W23" i="23"/>
  <c r="X23" i="23" s="1"/>
  <c r="U22" i="23"/>
  <c r="V22" i="23" s="1"/>
  <c r="W21" i="23"/>
  <c r="X21" i="23" s="1"/>
  <c r="U20" i="23"/>
  <c r="V20" i="23" s="1"/>
  <c r="W19" i="23"/>
  <c r="X19" i="23" s="1"/>
  <c r="U18" i="23"/>
  <c r="V18" i="23" s="1"/>
  <c r="W17" i="23"/>
  <c r="X17" i="23" s="1"/>
  <c r="U16" i="23"/>
  <c r="V16" i="23" s="1"/>
  <c r="W15" i="23"/>
  <c r="X15" i="23" s="1"/>
  <c r="U27" i="23"/>
  <c r="V27" i="23" s="1"/>
  <c r="U26" i="23"/>
  <c r="V26" i="23" s="1"/>
  <c r="Y22" i="23"/>
  <c r="Z22" i="23" s="1"/>
  <c r="Y20" i="23"/>
  <c r="Z20" i="23" s="1"/>
  <c r="Y18" i="23"/>
  <c r="Z18" i="23" s="1"/>
  <c r="Y16" i="23"/>
  <c r="Z16" i="23" s="1"/>
  <c r="Y14" i="23"/>
  <c r="Z14" i="23" s="1"/>
  <c r="U14" i="23"/>
  <c r="V14" i="23" s="1"/>
  <c r="Y25" i="23"/>
  <c r="Z25" i="23" s="1"/>
  <c r="U23" i="23"/>
  <c r="V23" i="23" s="1"/>
  <c r="W22" i="23"/>
  <c r="X22" i="23" s="1"/>
  <c r="U21" i="23"/>
  <c r="V21" i="23" s="1"/>
  <c r="W20" i="23"/>
  <c r="X20" i="23" s="1"/>
  <c r="U19" i="23"/>
  <c r="V19" i="23" s="1"/>
  <c r="W18" i="23"/>
  <c r="X18" i="23" s="1"/>
  <c r="U17" i="23"/>
  <c r="V17" i="23" s="1"/>
  <c r="W16" i="23"/>
  <c r="X16" i="23" s="1"/>
  <c r="U15" i="23"/>
  <c r="V15" i="23" s="1"/>
  <c r="Y3" i="23"/>
  <c r="Z3" i="23" s="1"/>
  <c r="U3" i="23"/>
  <c r="V3" i="23" s="1"/>
  <c r="Y2" i="23"/>
  <c r="Z2" i="23" s="1"/>
  <c r="U2" i="23"/>
  <c r="V2" i="23" s="1"/>
  <c r="W31" i="23"/>
  <c r="X31" i="23" s="1"/>
  <c r="W28" i="23"/>
  <c r="X28" i="23" s="1"/>
  <c r="Y4" i="23"/>
  <c r="Z4" i="23" s="1"/>
  <c r="Y5" i="23"/>
  <c r="Z5" i="23" s="1"/>
  <c r="Y6" i="23"/>
  <c r="Z6" i="23" s="1"/>
  <c r="Y7" i="23"/>
  <c r="Z7" i="23" s="1"/>
  <c r="Y8" i="23"/>
  <c r="Z8" i="23" s="1"/>
  <c r="Y9" i="23"/>
  <c r="Z9" i="23" s="1"/>
  <c r="Y10" i="23"/>
  <c r="Z10" i="23" s="1"/>
  <c r="Y11" i="23"/>
  <c r="Z11" i="23" s="1"/>
  <c r="Y12" i="23"/>
  <c r="Z12" i="23" s="1"/>
  <c r="Y13" i="23"/>
  <c r="Z13" i="23" s="1"/>
  <c r="Y15" i="23"/>
  <c r="Z15" i="23" s="1"/>
  <c r="Y19" i="23"/>
  <c r="Z19" i="23" s="1"/>
  <c r="Y23" i="23"/>
  <c r="Z23" i="23" s="1"/>
  <c r="D40" i="23"/>
  <c r="AE40" i="23" s="1"/>
  <c r="D39" i="23"/>
  <c r="AE39" i="23" s="1"/>
  <c r="D38" i="23"/>
  <c r="AE38" i="23" s="1"/>
  <c r="D37" i="23"/>
  <c r="AE37" i="23" s="1"/>
  <c r="D36" i="23"/>
  <c r="AE36" i="23" s="1"/>
  <c r="W24" i="23"/>
  <c r="X24" i="23" s="1"/>
  <c r="G35" i="23"/>
  <c r="H35" i="23" s="1"/>
  <c r="AI35" i="23" s="1"/>
  <c r="G37" i="23"/>
  <c r="F37" i="23"/>
  <c r="AG37" i="23" s="1"/>
  <c r="G39" i="23"/>
  <c r="F39" i="23"/>
  <c r="AG39" i="23" s="1"/>
  <c r="G36" i="23"/>
  <c r="F36" i="23"/>
  <c r="AG36" i="23" s="1"/>
  <c r="G38" i="23"/>
  <c r="F38" i="23"/>
  <c r="AG38" i="23" s="1"/>
  <c r="G40" i="23"/>
  <c r="F40" i="23"/>
  <c r="AG40" i="23" s="1"/>
  <c r="AE44" i="23" l="1"/>
  <c r="AE43" i="23"/>
  <c r="AG44" i="23"/>
  <c r="AG43" i="23"/>
  <c r="AA39" i="23"/>
  <c r="AA36" i="23"/>
  <c r="AA35" i="23"/>
  <c r="AA40" i="23"/>
  <c r="F41" i="23"/>
  <c r="AG41" i="23" s="1"/>
  <c r="H38" i="23"/>
  <c r="AI38" i="23" s="1"/>
  <c r="I38" i="23"/>
  <c r="H39" i="23"/>
  <c r="AI39" i="23" s="1"/>
  <c r="I39" i="23"/>
  <c r="I35" i="23"/>
  <c r="AA37" i="23"/>
  <c r="D41" i="23"/>
  <c r="H40" i="23"/>
  <c r="AI40" i="23" s="1"/>
  <c r="I40" i="23"/>
  <c r="H36" i="23"/>
  <c r="AI36" i="23" s="1"/>
  <c r="I36" i="23"/>
  <c r="H37" i="23"/>
  <c r="AI37" i="23" s="1"/>
  <c r="I37" i="23"/>
  <c r="AA38" i="23"/>
  <c r="AE41" i="23" l="1"/>
  <c r="AE42" i="23" s="1"/>
  <c r="AF20" i="23"/>
  <c r="AI44" i="23"/>
  <c r="AF21" i="23"/>
  <c r="AG42" i="23"/>
  <c r="AG45" i="23"/>
  <c r="AI43" i="23"/>
  <c r="AA41" i="23"/>
  <c r="K37" i="23"/>
  <c r="J37" i="23"/>
  <c r="AK37" i="23" s="1"/>
  <c r="K38" i="23"/>
  <c r="J38" i="23"/>
  <c r="AK38" i="23" s="1"/>
  <c r="K40" i="23"/>
  <c r="J40" i="23"/>
  <c r="AK40" i="23" s="1"/>
  <c r="K35" i="23"/>
  <c r="J35" i="23"/>
  <c r="AK35" i="23" s="1"/>
  <c r="H41" i="23"/>
  <c r="AI41" i="23" s="1"/>
  <c r="K36" i="23"/>
  <c r="J36" i="23"/>
  <c r="AK36" i="23" s="1"/>
  <c r="K39" i="23"/>
  <c r="J39" i="23"/>
  <c r="AK39" i="23" s="1"/>
  <c r="AE45" i="23" l="1"/>
  <c r="AI42" i="23"/>
  <c r="AI45" i="23"/>
  <c r="AK44" i="23"/>
  <c r="AF19" i="23"/>
  <c r="AK43" i="23"/>
  <c r="J41" i="23"/>
  <c r="AK41" i="23" s="1"/>
  <c r="L36" i="23"/>
  <c r="AM36" i="23" s="1"/>
  <c r="M36" i="23"/>
  <c r="L39" i="23"/>
  <c r="AM39" i="23" s="1"/>
  <c r="M39" i="23"/>
  <c r="L35" i="23"/>
  <c r="AM35" i="23" s="1"/>
  <c r="M35" i="23"/>
  <c r="L38" i="23"/>
  <c r="AM38" i="23" s="1"/>
  <c r="M38" i="23"/>
  <c r="L40" i="23"/>
  <c r="AM40" i="23" s="1"/>
  <c r="M40" i="23"/>
  <c r="L37" i="23"/>
  <c r="AM37" i="23" s="1"/>
  <c r="M37" i="23"/>
  <c r="AK42" i="23" l="1"/>
  <c r="AK45" i="23"/>
  <c r="AM44" i="23"/>
  <c r="AM43" i="23"/>
  <c r="O40" i="23"/>
  <c r="N40" i="23"/>
  <c r="AO40" i="23" s="1"/>
  <c r="O35" i="23"/>
  <c r="N35" i="23"/>
  <c r="AO35" i="23" s="1"/>
  <c r="O36" i="23"/>
  <c r="N36" i="23"/>
  <c r="AO36" i="23" s="1"/>
  <c r="L41" i="23"/>
  <c r="AM41" i="23" s="1"/>
  <c r="O37" i="23"/>
  <c r="N37" i="23"/>
  <c r="AO37" i="23" s="1"/>
  <c r="O38" i="23"/>
  <c r="N38" i="23"/>
  <c r="AO38" i="23" s="1"/>
  <c r="O39" i="23"/>
  <c r="N39" i="23"/>
  <c r="AO39" i="23" s="1"/>
  <c r="AO44" i="23" l="1"/>
  <c r="AM42" i="23"/>
  <c r="AM45" i="23"/>
  <c r="AO43" i="23"/>
  <c r="P39" i="23"/>
  <c r="AQ39" i="23" s="1"/>
  <c r="Q39" i="23"/>
  <c r="P37" i="23"/>
  <c r="AQ37" i="23" s="1"/>
  <c r="Q37" i="23"/>
  <c r="N41" i="23"/>
  <c r="AO41" i="23" s="1"/>
  <c r="P35" i="23"/>
  <c r="AQ35" i="23" s="1"/>
  <c r="Q35" i="23"/>
  <c r="P38" i="23"/>
  <c r="AQ38" i="23" s="1"/>
  <c r="Q38" i="23"/>
  <c r="P36" i="23"/>
  <c r="AQ36" i="23" s="1"/>
  <c r="Q36" i="23"/>
  <c r="P40" i="23"/>
  <c r="AQ40" i="23" s="1"/>
  <c r="Q40" i="23"/>
  <c r="AO42" i="23" l="1"/>
  <c r="AO45" i="23"/>
  <c r="AQ44" i="23"/>
  <c r="AQ43" i="23"/>
  <c r="S37" i="23"/>
  <c r="R37" i="23"/>
  <c r="AS37" i="23" s="1"/>
  <c r="S36" i="23"/>
  <c r="R36" i="23"/>
  <c r="AS36" i="23" s="1"/>
  <c r="S35" i="23"/>
  <c r="R35" i="23"/>
  <c r="AS35" i="23" s="1"/>
  <c r="P41" i="23"/>
  <c r="AQ41" i="23" s="1"/>
  <c r="S39" i="23"/>
  <c r="R39" i="23"/>
  <c r="AS39" i="23" s="1"/>
  <c r="S40" i="23"/>
  <c r="R40" i="23"/>
  <c r="AS40" i="23" s="1"/>
  <c r="S38" i="23"/>
  <c r="R38" i="23"/>
  <c r="AS38" i="23" s="1"/>
  <c r="AS44" i="23" l="1"/>
  <c r="AQ42" i="23"/>
  <c r="AQ45" i="23"/>
  <c r="AS43" i="23"/>
  <c r="R41" i="23"/>
  <c r="AS41" i="23" s="1"/>
  <c r="T40" i="23"/>
  <c r="AU40" i="23" s="1"/>
  <c r="U40" i="23"/>
  <c r="T35" i="23"/>
  <c r="AU35" i="23" s="1"/>
  <c r="U35" i="23"/>
  <c r="T38" i="23"/>
  <c r="AU38" i="23" s="1"/>
  <c r="U38" i="23"/>
  <c r="T37" i="23"/>
  <c r="AU37" i="23" s="1"/>
  <c r="U37" i="23"/>
  <c r="T39" i="23"/>
  <c r="AU39" i="23" s="1"/>
  <c r="U39" i="23"/>
  <c r="T36" i="23"/>
  <c r="AU36" i="23" s="1"/>
  <c r="U36" i="23"/>
  <c r="AU43" i="23" l="1"/>
  <c r="AU44" i="23"/>
  <c r="AS42" i="23"/>
  <c r="AS45" i="23"/>
  <c r="W36" i="23"/>
  <c r="V36" i="23"/>
  <c r="AW36" i="23" s="1"/>
  <c r="W37" i="23"/>
  <c r="V37" i="23"/>
  <c r="AW37" i="23" s="1"/>
  <c r="W35" i="23"/>
  <c r="V35" i="23"/>
  <c r="AW35" i="23" s="1"/>
  <c r="T41" i="23"/>
  <c r="AU41" i="23" s="1"/>
  <c r="W39" i="23"/>
  <c r="V39" i="23"/>
  <c r="AW39" i="23" s="1"/>
  <c r="W38" i="23"/>
  <c r="V38" i="23"/>
  <c r="AW38" i="23" s="1"/>
  <c r="W40" i="23"/>
  <c r="V40" i="23"/>
  <c r="AW40" i="23" s="1"/>
  <c r="AW44" i="23" l="1"/>
  <c r="AU42" i="23"/>
  <c r="AU45" i="23"/>
  <c r="AW43" i="23"/>
  <c r="V41" i="23"/>
  <c r="AW41" i="23" s="1"/>
  <c r="X39" i="23"/>
  <c r="AY39" i="23" s="1"/>
  <c r="Y39" i="23"/>
  <c r="Z39" i="23" s="1"/>
  <c r="BA39" i="23" s="1"/>
  <c r="X38" i="23"/>
  <c r="AY38" i="23" s="1"/>
  <c r="Y38" i="23"/>
  <c r="Z38" i="23" s="1"/>
  <c r="BA38" i="23" s="1"/>
  <c r="X40" i="23"/>
  <c r="AY40" i="23" s="1"/>
  <c r="Y40" i="23"/>
  <c r="Z40" i="23" s="1"/>
  <c r="BA40" i="23" s="1"/>
  <c r="X37" i="23"/>
  <c r="AY37" i="23" s="1"/>
  <c r="Y37" i="23"/>
  <c r="Z37" i="23" s="1"/>
  <c r="BA37" i="23" s="1"/>
  <c r="X35" i="23"/>
  <c r="AY35" i="23" s="1"/>
  <c r="Y35" i="23"/>
  <c r="Z35" i="23" s="1"/>
  <c r="BA35" i="23" s="1"/>
  <c r="X36" i="23"/>
  <c r="AY36" i="23" s="1"/>
  <c r="Y36" i="23"/>
  <c r="Z36" i="23" s="1"/>
  <c r="BA36" i="23" s="1"/>
  <c r="BA44" i="23" l="1"/>
  <c r="AW42" i="23"/>
  <c r="AW45" i="23"/>
  <c r="AY43" i="23"/>
  <c r="AY44" i="23"/>
  <c r="AC44" i="23" s="1"/>
  <c r="BA43" i="23"/>
  <c r="Z41" i="23"/>
  <c r="BA41" i="23" s="1"/>
  <c r="X41" i="23"/>
  <c r="AY41" i="23" s="1"/>
  <c r="AC43" i="23" l="1"/>
  <c r="AD20" i="23"/>
  <c r="AD21" i="23"/>
  <c r="AY42" i="23"/>
  <c r="AY45" i="23"/>
  <c r="BA42" i="23"/>
  <c r="BA45" i="23"/>
  <c r="D109" i="19"/>
  <c r="AC42" i="23" l="1"/>
  <c r="AD19" i="23"/>
  <c r="AC45" i="23"/>
  <c r="D65" i="19"/>
  <c r="D87" i="19"/>
  <c r="D21" i="19"/>
  <c r="D43" i="19"/>
  <c r="Q24" i="15"/>
  <c r="P24" i="15"/>
  <c r="Q23" i="15"/>
  <c r="P23" i="15"/>
  <c r="Q21" i="15"/>
  <c r="P21" i="15"/>
  <c r="Q20" i="15"/>
  <c r="P20" i="15"/>
  <c r="Q19" i="15"/>
  <c r="Q18" i="15"/>
  <c r="P18" i="15"/>
  <c r="Q17" i="15"/>
  <c r="Q16" i="15"/>
  <c r="P16" i="15"/>
  <c r="Q15" i="15"/>
  <c r="P15" i="15"/>
  <c r="Q14" i="15"/>
  <c r="P14" i="15"/>
  <c r="Q13" i="15"/>
  <c r="P13" i="15"/>
  <c r="Q12" i="15"/>
  <c r="P12" i="15"/>
  <c r="Q10" i="15"/>
  <c r="P10" i="15"/>
  <c r="Q9" i="15"/>
  <c r="P9" i="15"/>
  <c r="Q8" i="15"/>
  <c r="P8" i="15"/>
  <c r="Q7" i="15"/>
  <c r="P7" i="15"/>
  <c r="Q5" i="15"/>
  <c r="P5" i="15"/>
  <c r="Q4" i="15"/>
  <c r="P4" i="15"/>
  <c r="Q3" i="15"/>
  <c r="P3" i="15"/>
  <c r="N24" i="15"/>
  <c r="N21" i="15"/>
  <c r="N20" i="15"/>
  <c r="N18" i="15"/>
  <c r="N17" i="15"/>
  <c r="N15" i="15"/>
  <c r="N14" i="15"/>
  <c r="N13" i="15"/>
  <c r="N12" i="15"/>
  <c r="N10" i="15"/>
  <c r="N9" i="15"/>
  <c r="N8" i="15"/>
  <c r="N7" i="15"/>
  <c r="N5" i="15"/>
  <c r="N4" i="15"/>
  <c r="N3" i="15"/>
  <c r="D9" i="15"/>
  <c r="D8" i="15"/>
  <c r="D7" i="15"/>
  <c r="D6" i="15"/>
  <c r="D5" i="15"/>
  <c r="D4" i="15"/>
  <c r="D3" i="15"/>
  <c r="D2" i="15"/>
  <c r="H26" i="19" l="1"/>
  <c r="A34" i="15"/>
  <c r="D30" i="19" l="1"/>
  <c r="H30" i="19" s="1"/>
  <c r="D31" i="19"/>
  <c r="H31" i="19" s="1"/>
  <c r="P25" i="19" l="1"/>
  <c r="Q25" i="19" s="1"/>
  <c r="P24" i="19"/>
  <c r="Q24" i="19" s="1"/>
  <c r="P23" i="19"/>
  <c r="Q23" i="19" s="1"/>
  <c r="E113" i="19" s="1"/>
  <c r="P22" i="19"/>
  <c r="Q22" i="19" s="1"/>
  <c r="P21" i="19"/>
  <c r="Q21" i="19" s="1"/>
  <c r="E111" i="19" s="1"/>
  <c r="P20" i="19"/>
  <c r="Q20" i="19" s="1"/>
  <c r="P19" i="19"/>
  <c r="Q19" i="19" s="1"/>
  <c r="E109" i="19" s="1"/>
  <c r="F109" i="19" s="1"/>
  <c r="Q18" i="19"/>
  <c r="E108" i="19" s="1"/>
  <c r="F108" i="19" s="1"/>
  <c r="E90" i="19" l="1"/>
  <c r="E112" i="19"/>
  <c r="E86" i="19"/>
  <c r="F86" i="19" s="1"/>
  <c r="E88" i="19"/>
  <c r="E110" i="19"/>
  <c r="E67" i="19"/>
  <c r="E89" i="19"/>
  <c r="E69" i="19"/>
  <c r="E91" i="19"/>
  <c r="E64" i="19"/>
  <c r="F64" i="19" s="1"/>
  <c r="E65" i="19"/>
  <c r="F65" i="19" s="1"/>
  <c r="E87" i="19"/>
  <c r="F87" i="19" s="1"/>
  <c r="E46" i="19"/>
  <c r="E68" i="19"/>
  <c r="E42" i="19"/>
  <c r="F42" i="19" s="1"/>
  <c r="E44" i="19"/>
  <c r="E66" i="19"/>
  <c r="E25" i="19"/>
  <c r="E47" i="19"/>
  <c r="E21" i="19"/>
  <c r="F21" i="19" s="1"/>
  <c r="E43" i="19"/>
  <c r="F43" i="19" s="1"/>
  <c r="E23" i="19"/>
  <c r="E45" i="19"/>
  <c r="E20" i="19"/>
  <c r="F20" i="19" s="1"/>
  <c r="E24" i="19"/>
  <c r="E22" i="19"/>
  <c r="D111" i="19"/>
  <c r="F111" i="19" s="1"/>
  <c r="D113" i="19"/>
  <c r="F113" i="19" s="1"/>
  <c r="D88" i="19" l="1"/>
  <c r="F88" i="19" s="1"/>
  <c r="D110" i="19"/>
  <c r="F110" i="19" s="1"/>
  <c r="D90" i="19"/>
  <c r="F90" i="19" s="1"/>
  <c r="D112" i="19"/>
  <c r="F112" i="19" s="1"/>
  <c r="D69" i="19"/>
  <c r="F69" i="19" s="1"/>
  <c r="D91" i="19"/>
  <c r="F91" i="19" s="1"/>
  <c r="D67" i="19"/>
  <c r="F67" i="19" s="1"/>
  <c r="D89" i="19"/>
  <c r="F89" i="19" s="1"/>
  <c r="D46" i="19"/>
  <c r="F46" i="19" s="1"/>
  <c r="D68" i="19"/>
  <c r="F68" i="19" s="1"/>
  <c r="D44" i="19"/>
  <c r="F44" i="19" s="1"/>
  <c r="D66" i="19"/>
  <c r="F66" i="19" s="1"/>
  <c r="D25" i="19"/>
  <c r="F25" i="19" s="1"/>
  <c r="D47" i="19"/>
  <c r="F47" i="19" s="1"/>
  <c r="D23" i="19"/>
  <c r="F23" i="19" s="1"/>
  <c r="D45" i="19"/>
  <c r="F45" i="19" s="1"/>
  <c r="D24" i="19"/>
  <c r="F24" i="19" s="1"/>
  <c r="D22" i="19"/>
  <c r="F22" i="19" s="1"/>
  <c r="F114" i="19" l="1"/>
  <c r="G115" i="19" s="1"/>
  <c r="H124" i="19" s="1"/>
  <c r="G125" i="19" s="1"/>
  <c r="F92" i="19"/>
  <c r="G93" i="19" s="1"/>
  <c r="H102" i="19" s="1"/>
  <c r="G103" i="19" s="1"/>
  <c r="F70" i="19"/>
  <c r="G71" i="19" s="1"/>
  <c r="H80" i="19" s="1"/>
  <c r="G81" i="19" s="1"/>
  <c r="F26" i="19"/>
  <c r="F48" i="19"/>
  <c r="G49" i="19" l="1"/>
  <c r="H58" i="19" s="1"/>
  <c r="G59" i="19" s="1"/>
  <c r="AE11" i="23"/>
  <c r="AD11" i="23" s="1"/>
  <c r="AE10" i="23"/>
  <c r="AD10" i="23" s="1"/>
  <c r="AE9" i="23"/>
  <c r="AD9" i="23" s="1"/>
  <c r="AE8" i="23"/>
  <c r="AD8" i="23" s="1"/>
  <c r="AE15" i="23"/>
  <c r="AD15" i="23" s="1"/>
  <c r="AE7" i="23"/>
  <c r="AD7" i="23" s="1"/>
  <c r="AE14" i="23"/>
  <c r="AD14" i="23" s="1"/>
  <c r="AE6" i="23"/>
  <c r="AE12" i="23"/>
  <c r="AD12" i="23" s="1"/>
  <c r="AE13" i="23"/>
  <c r="AD13" i="23" s="1"/>
  <c r="G27" i="19"/>
  <c r="AE5" i="23"/>
  <c r="H36" i="19" l="1"/>
  <c r="T16" i="19" s="1"/>
  <c r="T4" i="19" s="1"/>
  <c r="T15" i="19"/>
  <c r="T3" i="19" s="1"/>
  <c r="AE16" i="23"/>
  <c r="AD16" i="23" s="1"/>
  <c r="AD6" i="23"/>
  <c r="AD5" i="23"/>
  <c r="T6" i="19" l="1"/>
  <c r="T9" i="19" s="1"/>
  <c r="T12" i="19" s="1"/>
  <c r="F11" i="19"/>
  <c r="F12" i="19"/>
  <c r="T7" i="19"/>
  <c r="T10" i="19" s="1"/>
  <c r="T13" i="19" s="1"/>
  <c r="G37" i="19"/>
  <c r="T14" i="19" s="1"/>
  <c r="T2" i="19" s="1"/>
  <c r="AE17" i="23"/>
  <c r="AD17" i="23" s="1"/>
  <c r="T5" i="19" l="1"/>
  <c r="T8" i="19" s="1"/>
  <c r="T11" i="19" s="1"/>
  <c r="B11" i="19"/>
  <c r="B13"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2" authorId="0" shapeId="0" xr:uid="{1FD1A848-52B3-4B4B-94E9-C6D8D23A287E}">
      <text>
        <r>
          <rPr>
            <sz val="9"/>
            <color indexed="81"/>
            <rFont val="ＭＳ ゴシック"/>
            <family val="3"/>
            <charset val="128"/>
          </rPr>
          <t>・端数は3月度に反映</t>
        </r>
      </text>
    </comment>
    <comment ref="AF2" authorId="0" shapeId="0" xr:uid="{8DE94A46-FC5F-4D3F-B63A-039415BB7AC3}">
      <text>
        <r>
          <rPr>
            <sz val="9"/>
            <color indexed="81"/>
            <rFont val="ＭＳ ゴシック"/>
            <family val="3"/>
            <charset val="128"/>
          </rPr>
          <t>各月均一に按分</t>
        </r>
      </text>
    </comment>
  </commentList>
</comments>
</file>

<file path=xl/sharedStrings.xml><?xml version="1.0" encoding="utf-8"?>
<sst xmlns="http://schemas.openxmlformats.org/spreadsheetml/2006/main" count="813" uniqueCount="223">
  <si>
    <t>学校名</t>
    <rPh sb="0" eb="2">
      <t>ガッコウ</t>
    </rPh>
    <rPh sb="2" eb="3">
      <t>メイ</t>
    </rPh>
    <phoneticPr fontId="1"/>
  </si>
  <si>
    <t>事業</t>
    <rPh sb="0" eb="2">
      <t>ジギョウ</t>
    </rPh>
    <phoneticPr fontId="1"/>
  </si>
  <si>
    <t>のびのびルーム</t>
    <phoneticPr fontId="1"/>
  </si>
  <si>
    <t>支援の単位</t>
    <rPh sb="0" eb="2">
      <t>シエン</t>
    </rPh>
    <rPh sb="3" eb="5">
      <t>タンイ</t>
    </rPh>
    <phoneticPr fontId="1"/>
  </si>
  <si>
    <t>支援の単位</t>
    <rPh sb="0" eb="2">
      <t>シエン</t>
    </rPh>
    <rPh sb="3" eb="5">
      <t>タンイ</t>
    </rPh>
    <phoneticPr fontId="1"/>
  </si>
  <si>
    <t>業務名</t>
    <rPh sb="0" eb="2">
      <t>ギョウム</t>
    </rPh>
    <rPh sb="2" eb="3">
      <t>メイ</t>
    </rPh>
    <phoneticPr fontId="1"/>
  </si>
  <si>
    <t>のび学校名</t>
    <phoneticPr fontId="1"/>
  </si>
  <si>
    <t>追加配置
指導員数</t>
    <rPh sb="0" eb="2">
      <t>ツイカ</t>
    </rPh>
    <rPh sb="2" eb="4">
      <t>ハイチ</t>
    </rPh>
    <rPh sb="5" eb="8">
      <t>シドウイン</t>
    </rPh>
    <rPh sb="8" eb="9">
      <t>スウ</t>
    </rPh>
    <phoneticPr fontId="1"/>
  </si>
  <si>
    <t>契約期間</t>
    <rPh sb="0" eb="2">
      <t>ケイヤク</t>
    </rPh>
    <rPh sb="2" eb="4">
      <t>キカン</t>
    </rPh>
    <phoneticPr fontId="1"/>
  </si>
  <si>
    <t>配置基準</t>
    <rPh sb="0" eb="2">
      <t>ハイチ</t>
    </rPh>
    <rPh sb="2" eb="4">
      <t>キジュン</t>
    </rPh>
    <phoneticPr fontId="1"/>
  </si>
  <si>
    <t>配置
基準</t>
    <rPh sb="0" eb="2">
      <t>ハイチ</t>
    </rPh>
    <rPh sb="3" eb="5">
      <t>キジュン</t>
    </rPh>
    <phoneticPr fontId="1"/>
  </si>
  <si>
    <t>40人以下</t>
  </si>
  <si>
    <t>80人以下</t>
  </si>
  <si>
    <t>120人以下</t>
  </si>
  <si>
    <t>160人以下</t>
  </si>
  <si>
    <t>200人以下</t>
  </si>
  <si>
    <t>240人以下</t>
  </si>
  <si>
    <t>280人以下</t>
  </si>
  <si>
    <t>320人以下</t>
  </si>
  <si>
    <t>登録児童数等</t>
    <rPh sb="0" eb="2">
      <t>トウロク</t>
    </rPh>
    <rPh sb="2" eb="4">
      <t>ジドウ</t>
    </rPh>
    <rPh sb="4" eb="5">
      <t>スウ</t>
    </rPh>
    <rPh sb="5" eb="6">
      <t>トウ</t>
    </rPh>
    <phoneticPr fontId="1"/>
  </si>
  <si>
    <t>契約期間</t>
    <rPh sb="0" eb="4">
      <t>ケイヤクキカン</t>
    </rPh>
    <phoneticPr fontId="1"/>
  </si>
  <si>
    <t>堺っ子くらぶ業務名</t>
    <rPh sb="0" eb="1">
      <t>サカイ</t>
    </rPh>
    <rPh sb="2" eb="3">
      <t>コ</t>
    </rPh>
    <rPh sb="6" eb="8">
      <t>ギョウム</t>
    </rPh>
    <rPh sb="8" eb="9">
      <t>メイ</t>
    </rPh>
    <phoneticPr fontId="1"/>
  </si>
  <si>
    <t>5月</t>
  </si>
  <si>
    <t>6月</t>
  </si>
  <si>
    <t>7月</t>
  </si>
  <si>
    <t>8月</t>
  </si>
  <si>
    <t>9月</t>
  </si>
  <si>
    <t>10月</t>
  </si>
  <si>
    <t>11月</t>
  </si>
  <si>
    <t>12月</t>
  </si>
  <si>
    <t>2月</t>
  </si>
  <si>
    <t>3月</t>
  </si>
  <si>
    <t>月別</t>
    <rPh sb="0" eb="2">
      <t>ツキベツ</t>
    </rPh>
    <phoneticPr fontId="1"/>
  </si>
  <si>
    <t>総価契約合計</t>
    <rPh sb="0" eb="1">
      <t>ソウ</t>
    </rPh>
    <rPh sb="1" eb="2">
      <t>アタイ</t>
    </rPh>
    <rPh sb="2" eb="4">
      <t>ケイヤク</t>
    </rPh>
    <rPh sb="4" eb="6">
      <t>ゴウケイ</t>
    </rPh>
    <phoneticPr fontId="1"/>
  </si>
  <si>
    <t>総価契約部分
月額</t>
    <rPh sb="0" eb="1">
      <t>ソウ</t>
    </rPh>
    <rPh sb="1" eb="2">
      <t>アタイ</t>
    </rPh>
    <rPh sb="2" eb="4">
      <t>ケイヤク</t>
    </rPh>
    <rPh sb="4" eb="6">
      <t>ブブン</t>
    </rPh>
    <rPh sb="7" eb="9">
      <t>ゲツガク</t>
    </rPh>
    <phoneticPr fontId="1"/>
  </si>
  <si>
    <t>総価契約部分
月額
（処遇改善）</t>
    <rPh sb="0" eb="1">
      <t>ソウ</t>
    </rPh>
    <rPh sb="1" eb="2">
      <t>アタイ</t>
    </rPh>
    <rPh sb="2" eb="4">
      <t>ケイヤク</t>
    </rPh>
    <rPh sb="4" eb="6">
      <t>ブブン</t>
    </rPh>
    <rPh sb="7" eb="9">
      <t>ゲツガク</t>
    </rPh>
    <rPh sb="11" eb="13">
      <t>ショグウ</t>
    </rPh>
    <rPh sb="13" eb="15">
      <t>カイゼン</t>
    </rPh>
    <phoneticPr fontId="1"/>
  </si>
  <si>
    <t>4月</t>
  </si>
  <si>
    <t>月</t>
  </si>
  <si>
    <t>1月</t>
    <rPh sb="1" eb="2">
      <t>ガツ</t>
    </rPh>
    <phoneticPr fontId="1"/>
  </si>
  <si>
    <t>合計</t>
    <rPh sb="0" eb="2">
      <t>ゴウケイ</t>
    </rPh>
    <phoneticPr fontId="1"/>
  </si>
  <si>
    <t>平日（水曜日以外）</t>
  </si>
  <si>
    <t>短縮</t>
  </si>
  <si>
    <t>長期休業（夏季除く）</t>
  </si>
  <si>
    <t>夏季休業</t>
  </si>
  <si>
    <t>土曜（長期休業中含む）</t>
  </si>
  <si>
    <t>のび加配指導員数</t>
    <rPh sb="2" eb="4">
      <t>カハイ</t>
    </rPh>
    <rPh sb="4" eb="7">
      <t>シドウイン</t>
    </rPh>
    <rPh sb="7" eb="8">
      <t>スウ</t>
    </rPh>
    <phoneticPr fontId="1"/>
  </si>
  <si>
    <t>13時00分～18時30分</t>
    <rPh sb="2" eb="3">
      <t>ジ</t>
    </rPh>
    <rPh sb="5" eb="6">
      <t>プン</t>
    </rPh>
    <rPh sb="9" eb="10">
      <t>ジ</t>
    </rPh>
    <rPh sb="12" eb="13">
      <t>プン</t>
    </rPh>
    <phoneticPr fontId="1"/>
  </si>
  <si>
    <t>7時30分～18時30分</t>
    <rPh sb="1" eb="2">
      <t>ジ</t>
    </rPh>
    <rPh sb="4" eb="5">
      <t>プン</t>
    </rPh>
    <rPh sb="8" eb="9">
      <t>ジ</t>
    </rPh>
    <rPh sb="11" eb="12">
      <t>プン</t>
    </rPh>
    <phoneticPr fontId="1"/>
  </si>
  <si>
    <t>18時30分～19時00分</t>
    <rPh sb="2" eb="3">
      <t>ジ</t>
    </rPh>
    <rPh sb="5" eb="6">
      <t>プン</t>
    </rPh>
    <rPh sb="9" eb="10">
      <t>ジ</t>
    </rPh>
    <rPh sb="12" eb="13">
      <t>プン</t>
    </rPh>
    <phoneticPr fontId="1"/>
  </si>
  <si>
    <t>主任のみ＋30分（事務）</t>
    <rPh sb="0" eb="2">
      <t>シュニン</t>
    </rPh>
    <rPh sb="7" eb="8">
      <t>プン</t>
    </rPh>
    <rPh sb="9" eb="11">
      <t>ジム</t>
    </rPh>
    <phoneticPr fontId="1"/>
  </si>
  <si>
    <t>主任のみ＋30分（弁当）</t>
    <rPh sb="0" eb="2">
      <t>シュニン</t>
    </rPh>
    <rPh sb="7" eb="8">
      <t>プン</t>
    </rPh>
    <rPh sb="9" eb="11">
      <t>ベントウ</t>
    </rPh>
    <phoneticPr fontId="1"/>
  </si>
  <si>
    <t>全職種＋60分（引継ぎ）</t>
    <rPh sb="0" eb="3">
      <t>ゼンショクシュ</t>
    </rPh>
    <rPh sb="6" eb="7">
      <t>プン</t>
    </rPh>
    <rPh sb="8" eb="10">
      <t>ヒキツ</t>
    </rPh>
    <phoneticPr fontId="1"/>
  </si>
  <si>
    <t>開始時刻～終了時刻</t>
    <rPh sb="0" eb="2">
      <t>カイシ</t>
    </rPh>
    <rPh sb="2" eb="4">
      <t>ジコク</t>
    </rPh>
    <rPh sb="5" eb="7">
      <t>シュウリョウ</t>
    </rPh>
    <rPh sb="7" eb="9">
      <t>ジコク</t>
    </rPh>
    <phoneticPr fontId="1"/>
  </si>
  <si>
    <t>備考</t>
    <rPh sb="0" eb="2">
      <t>ビコウ</t>
    </rPh>
    <phoneticPr fontId="1"/>
  </si>
  <si>
    <t>○</t>
  </si>
  <si>
    <t>●</t>
  </si>
  <si>
    <t>◎</t>
  </si>
  <si>
    <t>△</t>
  </si>
  <si>
    <t>▲</t>
  </si>
  <si>
    <t>◇</t>
  </si>
  <si>
    <t>法人名</t>
    <rPh sb="0" eb="3">
      <t>ホウジンメイ</t>
    </rPh>
    <phoneticPr fontId="1"/>
  </si>
  <si>
    <t>所在地</t>
    <rPh sb="0" eb="3">
      <t>ショザイチ</t>
    </rPh>
    <phoneticPr fontId="1"/>
  </si>
  <si>
    <t>代表者職・氏名</t>
    <rPh sb="0" eb="3">
      <t>ダイヒョウシャ</t>
    </rPh>
    <rPh sb="3" eb="4">
      <t>ショク</t>
    </rPh>
    <rPh sb="5" eb="7">
      <t>シメイ</t>
    </rPh>
    <phoneticPr fontId="1"/>
  </si>
  <si>
    <t>担当者名</t>
    <rPh sb="0" eb="4">
      <t>タントウシャメイ</t>
    </rPh>
    <phoneticPr fontId="1"/>
  </si>
  <si>
    <t>担当者連絡先</t>
    <rPh sb="0" eb="3">
      <t>タントウシャ</t>
    </rPh>
    <rPh sb="3" eb="6">
      <t>レンラクサキ</t>
    </rPh>
    <phoneticPr fontId="1"/>
  </si>
  <si>
    <t>配置基準</t>
    <rPh sb="0" eb="2">
      <t>ハイチ</t>
    </rPh>
    <rPh sb="2" eb="4">
      <t>キジュン</t>
    </rPh>
    <phoneticPr fontId="1"/>
  </si>
  <si>
    <t>人件費
見積書に反映</t>
    <rPh sb="0" eb="3">
      <t>ジンケンヒ</t>
    </rPh>
    <rPh sb="4" eb="7">
      <t>ミツモリショ</t>
    </rPh>
    <rPh sb="8" eb="10">
      <t>ハンエイ</t>
    </rPh>
    <phoneticPr fontId="1"/>
  </si>
  <si>
    <t>物件費
見積書に反映</t>
    <rPh sb="0" eb="3">
      <t>ブッケンヒ</t>
    </rPh>
    <rPh sb="4" eb="7">
      <t>ミツモリショ</t>
    </rPh>
    <rPh sb="8" eb="10">
      <t>ハンエイ</t>
    </rPh>
    <phoneticPr fontId="1"/>
  </si>
  <si>
    <t>使用済人件費</t>
    <rPh sb="0" eb="3">
      <t>シヨウズ</t>
    </rPh>
    <rPh sb="3" eb="6">
      <t>ジンケンヒ</t>
    </rPh>
    <phoneticPr fontId="1"/>
  </si>
  <si>
    <t>使用済物件費</t>
    <rPh sb="0" eb="3">
      <t>シヨウズ</t>
    </rPh>
    <rPh sb="3" eb="6">
      <t>ブッケンヒ</t>
    </rPh>
    <phoneticPr fontId="1"/>
  </si>
  <si>
    <t>のび人件費</t>
    <rPh sb="2" eb="5">
      <t>ジンケンヒ</t>
    </rPh>
    <phoneticPr fontId="1"/>
  </si>
  <si>
    <t>のび物件費</t>
    <rPh sb="2" eb="5">
      <t>ブッケンヒ</t>
    </rPh>
    <phoneticPr fontId="1"/>
  </si>
  <si>
    <t>日数</t>
    <rPh sb="0" eb="2">
      <t>ニッスウ</t>
    </rPh>
    <phoneticPr fontId="1"/>
  </si>
  <si>
    <t>人数</t>
    <rPh sb="0" eb="2">
      <t>ニンズウ</t>
    </rPh>
    <phoneticPr fontId="1"/>
  </si>
  <si>
    <t>堺市長　様</t>
    <rPh sb="0" eb="3">
      <t>サカイシチョウ</t>
    </rPh>
    <rPh sb="4" eb="5">
      <t>サマ</t>
    </rPh>
    <phoneticPr fontId="1"/>
  </si>
  <si>
    <t>契約1年目</t>
    <rPh sb="0" eb="2">
      <t>ケイヤク</t>
    </rPh>
    <rPh sb="3" eb="5">
      <t>ネンメ</t>
    </rPh>
    <phoneticPr fontId="1"/>
  </si>
  <si>
    <t>契約2年目</t>
    <rPh sb="0" eb="2">
      <t>ケイヤク</t>
    </rPh>
    <rPh sb="3" eb="5">
      <t>ネンメ</t>
    </rPh>
    <phoneticPr fontId="1"/>
  </si>
  <si>
    <t>契約3年目</t>
    <rPh sb="0" eb="2">
      <t>ケイヤク</t>
    </rPh>
    <rPh sb="3" eb="5">
      <t>ネンメ</t>
    </rPh>
    <phoneticPr fontId="1"/>
  </si>
  <si>
    <t>契約4年目</t>
    <rPh sb="0" eb="2">
      <t>ケイヤク</t>
    </rPh>
    <rPh sb="3" eb="5">
      <t>ネンメ</t>
    </rPh>
    <phoneticPr fontId="1"/>
  </si>
  <si>
    <t>契約5年目</t>
    <rPh sb="0" eb="2">
      <t>ケイヤク</t>
    </rPh>
    <rPh sb="3" eb="5">
      <t>ネンメ</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</si>
  <si>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</si>
  <si>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</si>
  <si>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</si>
  <si>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</si>
  <si>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上欄契約期間の●年目</t>
    <rPh sb="0" eb="1">
      <t>ウエ</t>
    </rPh>
    <rPh sb="1" eb="2">
      <t>ラン</t>
    </rPh>
    <rPh sb="2" eb="6">
      <t>ケイヤクキカン</t>
    </rPh>
    <rPh sb="8" eb="10">
      <t>ネンメ</t>
    </rPh>
    <phoneticPr fontId="1"/>
  </si>
  <si>
    <t>日</t>
    <rPh sb="0" eb="1">
      <t>ヒ</t>
    </rPh>
    <phoneticPr fontId="10"/>
  </si>
  <si>
    <t>月</t>
    <rPh sb="0" eb="1">
      <t>ガツ</t>
    </rPh>
    <phoneticPr fontId="10"/>
  </si>
  <si>
    <t>年</t>
    <rPh sb="0" eb="1">
      <t>ネン</t>
    </rPh>
    <phoneticPr fontId="10"/>
  </si>
  <si>
    <t>区分</t>
    <rPh sb="0" eb="2">
      <t>クブン</t>
    </rPh>
    <phoneticPr fontId="10"/>
  </si>
  <si>
    <t>合計</t>
    <rPh sb="0" eb="2">
      <t>ゴウケイ</t>
    </rPh>
    <phoneticPr fontId="10"/>
  </si>
  <si>
    <t>水曜日</t>
    <phoneticPr fontId="10"/>
  </si>
  <si>
    <t>【黄】祝日　　【緑】短縮　　【黄緑】長期休業</t>
    <rPh sb="3" eb="5">
      <t>シュクジツ</t>
    </rPh>
    <rPh sb="10" eb="12">
      <t>タンシュク</t>
    </rPh>
    <rPh sb="18" eb="22">
      <t>チョウキキュウギョウ</t>
    </rPh>
    <phoneticPr fontId="10"/>
  </si>
  <si>
    <t>勤務時間</t>
    <rPh sb="0" eb="4">
      <t>キンムジカン</t>
    </rPh>
    <phoneticPr fontId="10"/>
  </si>
  <si>
    <t>時間</t>
    <rPh sb="0" eb="2">
      <t>ジカン</t>
    </rPh>
    <phoneticPr fontId="1"/>
  </si>
  <si>
    <t>年間開設日数</t>
    <rPh sb="0" eb="2">
      <t>ネンカン</t>
    </rPh>
    <rPh sb="2" eb="5">
      <t>カイセツビ</t>
    </rPh>
    <rPh sb="5" eb="6">
      <t>カズ</t>
    </rPh>
    <phoneticPr fontId="10"/>
  </si>
  <si>
    <t>うち、1日保育以外</t>
    <rPh sb="4" eb="7">
      <t>ニチホイク</t>
    </rPh>
    <rPh sb="7" eb="9">
      <t>イガイ</t>
    </rPh>
    <phoneticPr fontId="1"/>
  </si>
  <si>
    <t>うち、1日保育</t>
    <rPh sb="4" eb="7">
      <t>ニチホイク</t>
    </rPh>
    <phoneticPr fontId="1"/>
  </si>
  <si>
    <t>年間勤務時間数（延長除く）</t>
    <rPh sb="0" eb="2">
      <t>ネンカン</t>
    </rPh>
    <rPh sb="2" eb="4">
      <t>キンム</t>
    </rPh>
    <rPh sb="4" eb="6">
      <t>ジカン</t>
    </rPh>
    <rPh sb="6" eb="7">
      <t>スウ</t>
    </rPh>
    <rPh sb="8" eb="10">
      <t>エンチョウ</t>
    </rPh>
    <rPh sb="10" eb="11">
      <t>ノゾ</t>
    </rPh>
    <phoneticPr fontId="10"/>
  </si>
  <si>
    <t>組織数</t>
    <rPh sb="0" eb="3">
      <t>ソシキスウ</t>
    </rPh>
    <phoneticPr fontId="1"/>
  </si>
  <si>
    <t>※契約1年目のみ入力（契約2年目以降は、入力しても見積書に反映されない）</t>
    <rPh sb="1" eb="3">
      <t>ケイヤク</t>
    </rPh>
    <rPh sb="4" eb="6">
      <t>ネンメ</t>
    </rPh>
    <rPh sb="8" eb="10">
      <t>ニュウリョク</t>
    </rPh>
    <rPh sb="11" eb="13">
      <t>ケイヤク</t>
    </rPh>
    <rPh sb="14" eb="18">
      <t>ネンメイコウ</t>
    </rPh>
    <rPh sb="20" eb="22">
      <t>ニュウリョク</t>
    </rPh>
    <rPh sb="25" eb="28">
      <t>ミツモリショ</t>
    </rPh>
    <rPh sb="29" eb="31">
      <t>ハンエイ</t>
    </rPh>
    <phoneticPr fontId="1"/>
  </si>
  <si>
    <t>12時30分～18時30分</t>
    <rPh sb="2" eb="3">
      <t>ジ</t>
    </rPh>
    <rPh sb="5" eb="6">
      <t>プン</t>
    </rPh>
    <rPh sb="9" eb="10">
      <t>ジ</t>
    </rPh>
    <rPh sb="12" eb="13">
      <t>プン</t>
    </rPh>
    <phoneticPr fontId="1"/>
  </si>
  <si>
    <t>10時30分～18時30分</t>
    <rPh sb="2" eb="3">
      <t>ジ</t>
    </rPh>
    <rPh sb="5" eb="6">
      <t>プン</t>
    </rPh>
    <rPh sb="9" eb="10">
      <t>ジ</t>
    </rPh>
    <rPh sb="12" eb="13">
      <t>プン</t>
    </rPh>
    <phoneticPr fontId="1"/>
  </si>
  <si>
    <t>全体合計</t>
    <rPh sb="0" eb="2">
      <t>ゼンタイ</t>
    </rPh>
    <rPh sb="2" eb="4">
      <t>ゴウケイ</t>
    </rPh>
    <phoneticPr fontId="1"/>
  </si>
  <si>
    <t>1日保育以外合計</t>
    <rPh sb="1" eb="4">
      <t>ニチホイク</t>
    </rPh>
    <rPh sb="4" eb="6">
      <t>イガイ</t>
    </rPh>
    <rPh sb="6" eb="8">
      <t>ゴウケイ</t>
    </rPh>
    <phoneticPr fontId="1"/>
  </si>
  <si>
    <t>1日保育合計</t>
    <rPh sb="1" eb="4">
      <t>ニチホイク</t>
    </rPh>
    <rPh sb="4" eb="6">
      <t>ゴウケイ</t>
    </rPh>
    <phoneticPr fontId="1"/>
  </si>
  <si>
    <t>時間外合計</t>
    <rPh sb="0" eb="3">
      <t>ジカンガイ</t>
    </rPh>
    <rPh sb="3" eb="5">
      <t>ゴウケイ</t>
    </rPh>
    <phoneticPr fontId="1"/>
  </si>
  <si>
    <t>（うち、総価部分）</t>
    <rPh sb="4" eb="8">
      <t>ソウカブブン</t>
    </rPh>
    <phoneticPr fontId="1"/>
  </si>
  <si>
    <t>（うち、単価部分）</t>
    <rPh sb="4" eb="6">
      <t>タンカ</t>
    </rPh>
    <rPh sb="6" eb="8">
      <t>ブブン</t>
    </rPh>
    <phoneticPr fontId="1"/>
  </si>
  <si>
    <t>（総価契約部分</t>
    <rPh sb="1" eb="7">
      <t>ソウカケイヤクブブン</t>
    </rPh>
    <phoneticPr fontId="1"/>
  </si>
  <si>
    <t>）</t>
    <phoneticPr fontId="1"/>
  </si>
  <si>
    <t>（単価契約部分</t>
    <rPh sb="1" eb="3">
      <t>タンカ</t>
    </rPh>
    <rPh sb="3" eb="5">
      <t>ケイヤク</t>
    </rPh>
    <rPh sb="5" eb="7">
      <t>ブブン</t>
    </rPh>
    <phoneticPr fontId="1"/>
  </si>
  <si>
    <t>入札額積算資料・見積書の別</t>
    <rPh sb="8" eb="11">
      <t>ミツモリショ</t>
    </rPh>
    <rPh sb="12" eb="13">
      <t>ベツ</t>
    </rPh>
    <phoneticPr fontId="1"/>
  </si>
  <si>
    <t>税抜</t>
    <rPh sb="0" eb="2">
      <t>ゼイヌ</t>
    </rPh>
    <phoneticPr fontId="1"/>
  </si>
  <si>
    <t>3年</t>
    <rPh sb="1" eb="2">
      <t>ネン</t>
    </rPh>
    <phoneticPr fontId="1"/>
  </si>
  <si>
    <t>4年</t>
    <rPh sb="1" eb="2">
      <t>ネン</t>
    </rPh>
    <phoneticPr fontId="1"/>
  </si>
  <si>
    <t>5年</t>
    <rPh sb="1" eb="2">
      <t>ネン</t>
    </rPh>
    <phoneticPr fontId="1"/>
  </si>
  <si>
    <t>1年</t>
    <rPh sb="1" eb="2">
      <t>ネン</t>
    </rPh>
    <phoneticPr fontId="1"/>
  </si>
  <si>
    <t>【総価契約部分】人件費及び物件費の計・処遇改善の計（税抜）</t>
    <phoneticPr fontId="1"/>
  </si>
  <si>
    <t>見積単価（契約期間は不変）</t>
  </si>
  <si>
    <t>Ａ小学校</t>
    <rPh sb="1" eb="4">
      <t>ショウガッコウ</t>
    </rPh>
    <phoneticPr fontId="1"/>
  </si>
  <si>
    <t>Ｂ小学校</t>
    <rPh sb="1" eb="4">
      <t>ショウガッコウ</t>
    </rPh>
    <phoneticPr fontId="1"/>
  </si>
  <si>
    <t>Ｃ小学校</t>
    <rPh sb="1" eb="4">
      <t>ショウガッコウ</t>
    </rPh>
    <phoneticPr fontId="1"/>
  </si>
  <si>
    <t>Ｄ小学校</t>
    <rPh sb="1" eb="4">
      <t>ショウガッコウ</t>
    </rPh>
    <phoneticPr fontId="1"/>
  </si>
  <si>
    <t>Ｅ小学校</t>
    <rPh sb="1" eb="4">
      <t>ショウガッコウ</t>
    </rPh>
    <phoneticPr fontId="1"/>
  </si>
  <si>
    <t>支援単位数</t>
    <rPh sb="0" eb="5">
      <t>シエンタンイスウ</t>
    </rPh>
    <phoneticPr fontId="1"/>
  </si>
  <si>
    <t>見積額</t>
    <rPh sb="0" eb="3">
      <t>ミツモリガク</t>
    </rPh>
    <phoneticPr fontId="1"/>
  </si>
  <si>
    <t>1支援単位</t>
    <rPh sb="1" eb="5">
      <t>シエンタンイ</t>
    </rPh>
    <phoneticPr fontId="1"/>
  </si>
  <si>
    <t>2支援単位</t>
    <rPh sb="1" eb="5">
      <t>シエンタンイ</t>
    </rPh>
    <phoneticPr fontId="1"/>
  </si>
  <si>
    <t>3支援単位</t>
    <rPh sb="1" eb="5">
      <t>シエンタンイ</t>
    </rPh>
    <phoneticPr fontId="1"/>
  </si>
  <si>
    <t>4支援単位</t>
    <rPh sb="1" eb="5">
      <t>シエンタンイ</t>
    </rPh>
    <phoneticPr fontId="1"/>
  </si>
  <si>
    <t>説明</t>
    <rPh sb="0" eb="2">
      <t>セツメイ</t>
    </rPh>
    <phoneticPr fontId="1"/>
  </si>
  <si>
    <t>5支援単位</t>
    <rPh sb="1" eb="5">
      <t>シエンタンイ</t>
    </rPh>
    <phoneticPr fontId="1"/>
  </si>
  <si>
    <t>単価契約部分</t>
    <rPh sb="0" eb="6">
      <t>タンカケイヤクブブン</t>
    </rPh>
    <phoneticPr fontId="1"/>
  </si>
  <si>
    <t>契約希望金額</t>
    <rPh sb="0" eb="6">
      <t>ケイヤクキボウキンガク</t>
    </rPh>
    <phoneticPr fontId="1"/>
  </si>
  <si>
    <t>総価契約部分</t>
    <rPh sb="0" eb="6">
      <t>ソウカケイヤクブブン</t>
    </rPh>
    <phoneticPr fontId="1"/>
  </si>
  <si>
    <t>・数量の変更に伴い単価契約部分は変更となるが、単価は不変のため、入札参加事業者の裁量による変更は不可</t>
    <rPh sb="1" eb="3">
      <t>スウリョウ</t>
    </rPh>
    <rPh sb="4" eb="6">
      <t>ヘンコウ</t>
    </rPh>
    <rPh sb="7" eb="8">
      <t>トモナ</t>
    </rPh>
    <rPh sb="9" eb="15">
      <t>タンカケイヤクブブン</t>
    </rPh>
    <rPh sb="16" eb="18">
      <t>ヘンコウ</t>
    </rPh>
    <rPh sb="23" eb="25">
      <t>タンカ</t>
    </rPh>
    <rPh sb="26" eb="28">
      <t>フヘン</t>
    </rPh>
    <rPh sb="32" eb="39">
      <t>ニュウサツサンカジギョウシャ</t>
    </rPh>
    <rPh sb="40" eb="42">
      <t>サイリョウ</t>
    </rPh>
    <rPh sb="45" eb="47">
      <t>ヘンコウ</t>
    </rPh>
    <rPh sb="48" eb="50">
      <t>フカ</t>
    </rPh>
    <phoneticPr fontId="1"/>
  </si>
  <si>
    <t>・契約2年目について、支援単位数の変更により見積額も変更</t>
    <rPh sb="1" eb="3">
      <t>ケイヤク</t>
    </rPh>
    <rPh sb="4" eb="6">
      <t>ネンメ</t>
    </rPh>
    <rPh sb="11" eb="13">
      <t>シエン</t>
    </rPh>
    <rPh sb="13" eb="16">
      <t>タンイスウ</t>
    </rPh>
    <rPh sb="17" eb="19">
      <t>ヘンコウ</t>
    </rPh>
    <rPh sb="22" eb="24">
      <t>ミツモリ</t>
    </rPh>
    <rPh sb="24" eb="25">
      <t>ガク</t>
    </rPh>
    <rPh sb="26" eb="28">
      <t>ヘンコウ</t>
    </rPh>
    <phoneticPr fontId="1"/>
  </si>
  <si>
    <r>
      <t>・契約1年目について、</t>
    </r>
    <r>
      <rPr>
        <b/>
        <sz val="10"/>
        <color rgb="FFFF0000"/>
        <rFont val="ＭＳ ゴシック"/>
        <family val="3"/>
        <charset val="128"/>
      </rPr>
      <t>Ｂ小学校と同一支援単位</t>
    </r>
    <r>
      <rPr>
        <sz val="10"/>
        <color theme="1"/>
        <rFont val="ＭＳ ゴシック"/>
        <family val="3"/>
        <charset val="128"/>
      </rPr>
      <t>のため、</t>
    </r>
    <r>
      <rPr>
        <b/>
        <sz val="10"/>
        <color rgb="FFFF0000"/>
        <rFont val="ＭＳ ゴシック"/>
        <family val="3"/>
        <charset val="128"/>
      </rPr>
      <t>見積額も同額</t>
    </r>
    <rPh sb="1" eb="3">
      <t>ケイヤク</t>
    </rPh>
    <rPh sb="4" eb="6">
      <t>ネンメ</t>
    </rPh>
    <rPh sb="12" eb="15">
      <t>ショウガッコウ</t>
    </rPh>
    <rPh sb="16" eb="18">
      <t>ドウイツ</t>
    </rPh>
    <rPh sb="18" eb="22">
      <t>シエンタンイ</t>
    </rPh>
    <rPh sb="26" eb="29">
      <t>ミツモリガク</t>
    </rPh>
    <rPh sb="30" eb="31">
      <t>ドウ</t>
    </rPh>
    <rPh sb="31" eb="32">
      <t>ガク</t>
    </rPh>
    <phoneticPr fontId="1"/>
  </si>
  <si>
    <r>
      <t>・契約2年目について、</t>
    </r>
    <r>
      <rPr>
        <b/>
        <sz val="10"/>
        <color rgb="FFFF0000"/>
        <rFont val="ＭＳ ゴシック"/>
        <family val="3"/>
        <charset val="128"/>
      </rPr>
      <t>支援単位数は変更なし</t>
    </r>
    <r>
      <rPr>
        <sz val="10"/>
        <color theme="1"/>
        <rFont val="ＭＳ ゴシック"/>
        <family val="3"/>
        <charset val="128"/>
      </rPr>
      <t>のため、</t>
    </r>
    <r>
      <rPr>
        <b/>
        <sz val="10"/>
        <color rgb="FFFF0000"/>
        <rFont val="ＭＳ ゴシック"/>
        <family val="3"/>
        <charset val="128"/>
      </rPr>
      <t>見積額は不変</t>
    </r>
    <rPh sb="1" eb="3">
      <t>ケイヤク</t>
    </rPh>
    <rPh sb="4" eb="6">
      <t>ネンメ</t>
    </rPh>
    <phoneticPr fontId="1"/>
  </si>
  <si>
    <r>
      <t>・契約2年目について、</t>
    </r>
    <r>
      <rPr>
        <b/>
        <sz val="10"/>
        <color rgb="FFFF0000"/>
        <rFont val="ＭＳ ゴシック"/>
        <family val="3"/>
        <charset val="128"/>
      </rPr>
      <t>新たな支援単位数</t>
    </r>
    <r>
      <rPr>
        <sz val="10"/>
        <color theme="1"/>
        <rFont val="ＭＳ ゴシック"/>
        <family val="3"/>
        <charset val="128"/>
      </rPr>
      <t>のため、見積額を積算</t>
    </r>
    <rPh sb="1" eb="3">
      <t>ケイヤク</t>
    </rPh>
    <rPh sb="4" eb="6">
      <t>ネンメ</t>
    </rPh>
    <rPh sb="11" eb="12">
      <t>アラ</t>
    </rPh>
    <rPh sb="14" eb="16">
      <t>シエン</t>
    </rPh>
    <rPh sb="16" eb="18">
      <t>タンイ</t>
    </rPh>
    <rPh sb="18" eb="19">
      <t>スウ</t>
    </rPh>
    <rPh sb="23" eb="25">
      <t>ミツモリ</t>
    </rPh>
    <rPh sb="25" eb="26">
      <t>ガク</t>
    </rPh>
    <rPh sb="27" eb="29">
      <t>セキサン</t>
    </rPh>
    <phoneticPr fontId="1"/>
  </si>
  <si>
    <t>数量：10</t>
    <rPh sb="0" eb="2">
      <t>スウリョウ</t>
    </rPh>
    <phoneticPr fontId="1"/>
  </si>
  <si>
    <t>数量：20</t>
    <rPh sb="0" eb="2">
      <t>スウリョウ</t>
    </rPh>
    <phoneticPr fontId="1"/>
  </si>
  <si>
    <t>入札額積算資料及び見積書作成に係る留意事項</t>
    <rPh sb="0" eb="7">
      <t>ニュウサツガクセキサンシリョウ</t>
    </rPh>
    <rPh sb="7" eb="8">
      <t>オヨ</t>
    </rPh>
    <rPh sb="9" eb="12">
      <t>ミツモリショ</t>
    </rPh>
    <rPh sb="12" eb="14">
      <t>サクセイ</t>
    </rPh>
    <rPh sb="15" eb="16">
      <t>カカ</t>
    </rPh>
    <rPh sb="17" eb="21">
      <t>リュウイジコウ</t>
    </rPh>
    <phoneticPr fontId="1"/>
  </si>
  <si>
    <t>・契約締結となった支援単位ごとの見積額（総価契約部分）及び各税込日額（単価契約部分）は、残りの契約期間において変更できない</t>
    <rPh sb="1" eb="3">
      <t>ケイヤク</t>
    </rPh>
    <rPh sb="3" eb="5">
      <t>テイケツ</t>
    </rPh>
    <rPh sb="9" eb="13">
      <t>シエンタンイ</t>
    </rPh>
    <rPh sb="16" eb="19">
      <t>ミツモリガク</t>
    </rPh>
    <rPh sb="20" eb="26">
      <t>ソウカケイヤクブブン</t>
    </rPh>
    <rPh sb="27" eb="28">
      <t>オヨ</t>
    </rPh>
    <rPh sb="29" eb="30">
      <t>カク</t>
    </rPh>
    <rPh sb="30" eb="32">
      <t>ゼイコミ</t>
    </rPh>
    <rPh sb="32" eb="34">
      <t>ニチガク</t>
    </rPh>
    <rPh sb="35" eb="37">
      <t>タンカ</t>
    </rPh>
    <rPh sb="37" eb="39">
      <t>ケイヤク</t>
    </rPh>
    <rPh sb="39" eb="41">
      <t>ブブン</t>
    </rPh>
    <rPh sb="44" eb="45">
      <t>ノコ</t>
    </rPh>
    <rPh sb="47" eb="51">
      <t>ケイヤクキカン</t>
    </rPh>
    <rPh sb="55" eb="57">
      <t>ヘンコウ</t>
    </rPh>
    <phoneticPr fontId="1"/>
  </si>
  <si>
    <t>（例）</t>
    <phoneticPr fontId="1"/>
  </si>
  <si>
    <t>・当初契約時に、総価契約部分を高く、単価契約部分を低く見積もることにより、新たな支援単位の見積額を積算するに当たり、小規模支援単位との逆転現象が生じる場合がある</t>
    <rPh sb="1" eb="3">
      <t>トウショ</t>
    </rPh>
    <rPh sb="3" eb="5">
      <t>ケイヤク</t>
    </rPh>
    <rPh sb="5" eb="6">
      <t>ジ</t>
    </rPh>
    <rPh sb="8" eb="10">
      <t>ソウカ</t>
    </rPh>
    <rPh sb="10" eb="12">
      <t>ケイヤク</t>
    </rPh>
    <rPh sb="12" eb="14">
      <t>ブブン</t>
    </rPh>
    <rPh sb="15" eb="16">
      <t>タカ</t>
    </rPh>
    <rPh sb="18" eb="20">
      <t>タンカ</t>
    </rPh>
    <rPh sb="20" eb="22">
      <t>ケイヤク</t>
    </rPh>
    <rPh sb="22" eb="24">
      <t>ブブン</t>
    </rPh>
    <rPh sb="25" eb="26">
      <t>ヒク</t>
    </rPh>
    <rPh sb="27" eb="29">
      <t>ミツ</t>
    </rPh>
    <rPh sb="37" eb="38">
      <t>アラ</t>
    </rPh>
    <rPh sb="40" eb="42">
      <t>シエン</t>
    </rPh>
    <rPh sb="42" eb="44">
      <t>タンイ</t>
    </rPh>
    <rPh sb="45" eb="47">
      <t>ミツモリ</t>
    </rPh>
    <rPh sb="47" eb="48">
      <t>ガク</t>
    </rPh>
    <rPh sb="49" eb="51">
      <t>セキサン</t>
    </rPh>
    <rPh sb="54" eb="55">
      <t>ア</t>
    </rPh>
    <rPh sb="58" eb="61">
      <t>ショウキボ</t>
    </rPh>
    <rPh sb="61" eb="63">
      <t>シエン</t>
    </rPh>
    <rPh sb="63" eb="65">
      <t>タンイ</t>
    </rPh>
    <rPh sb="67" eb="69">
      <t>ギャクテン</t>
    </rPh>
    <rPh sb="69" eb="71">
      <t>ゲンショウ</t>
    </rPh>
    <rPh sb="72" eb="73">
      <t>ショウ</t>
    </rPh>
    <rPh sb="75" eb="77">
      <t>バアイ</t>
    </rPh>
    <phoneticPr fontId="1"/>
  </si>
  <si>
    <t>税込日額：10</t>
    <rPh sb="0" eb="2">
      <t>ゼイコミ</t>
    </rPh>
    <rPh sb="2" eb="4">
      <t>ニチガク</t>
    </rPh>
    <phoneticPr fontId="1"/>
  </si>
  <si>
    <r>
      <t>・契約締結した税込日額（単価）は、残りの契約期間において</t>
    </r>
    <r>
      <rPr>
        <b/>
        <sz val="10"/>
        <color rgb="FFFF0000"/>
        <rFont val="ＭＳ ゴシック"/>
        <family val="3"/>
        <charset val="128"/>
      </rPr>
      <t>不変</t>
    </r>
    <rPh sb="1" eb="3">
      <t>ケイヤク</t>
    </rPh>
    <rPh sb="3" eb="5">
      <t>テイケツ</t>
    </rPh>
    <rPh sb="7" eb="9">
      <t>ゼイコ</t>
    </rPh>
    <rPh sb="9" eb="11">
      <t>ニチガク</t>
    </rPh>
    <rPh sb="12" eb="14">
      <t>タンカ</t>
    </rPh>
    <rPh sb="17" eb="18">
      <t>ノコ</t>
    </rPh>
    <rPh sb="20" eb="22">
      <t>ケイヤク</t>
    </rPh>
    <rPh sb="22" eb="24">
      <t>キカン</t>
    </rPh>
    <rPh sb="28" eb="30">
      <t>フヘン</t>
    </rPh>
    <phoneticPr fontId="1"/>
  </si>
  <si>
    <t>・変更契約時に新たな支援単位が発生した際は、その際に見積額を積算することとし、単価契約部分も含めた全体の予定価格の範囲内であれば、変更契約締結となる</t>
    <rPh sb="1" eb="6">
      <t>ヘンコウケイヤクジ</t>
    </rPh>
    <rPh sb="7" eb="8">
      <t>アラ</t>
    </rPh>
    <rPh sb="10" eb="12">
      <t>シエン</t>
    </rPh>
    <rPh sb="12" eb="14">
      <t>タンイ</t>
    </rPh>
    <rPh sb="15" eb="17">
      <t>ハッセイ</t>
    </rPh>
    <rPh sb="19" eb="20">
      <t>サイ</t>
    </rPh>
    <rPh sb="24" eb="25">
      <t>サイ</t>
    </rPh>
    <rPh sb="26" eb="29">
      <t>ミツモリガク</t>
    </rPh>
    <rPh sb="30" eb="32">
      <t>セキサン</t>
    </rPh>
    <rPh sb="39" eb="45">
      <t>タンカケイヤクブブン</t>
    </rPh>
    <rPh sb="46" eb="47">
      <t>フク</t>
    </rPh>
    <rPh sb="49" eb="51">
      <t>ゼンタイ</t>
    </rPh>
    <rPh sb="52" eb="56">
      <t>ヨテイカカク</t>
    </rPh>
    <rPh sb="57" eb="59">
      <t>ハンイ</t>
    </rPh>
    <rPh sb="59" eb="60">
      <t>ナイ</t>
    </rPh>
    <rPh sb="65" eb="69">
      <t>ヘンコウケイヤク</t>
    </rPh>
    <rPh sb="69" eb="71">
      <t>テイケツ</t>
    </rPh>
    <phoneticPr fontId="1"/>
  </si>
  <si>
    <r>
      <t>・ただし、契約1年目の</t>
    </r>
    <r>
      <rPr>
        <b/>
        <sz val="10"/>
        <color rgb="FFFF0000"/>
        <rFont val="ＭＳ ゴシック"/>
        <family val="3"/>
        <charset val="128"/>
      </rPr>
      <t>Ｄ小学校と同一支援単位</t>
    </r>
    <r>
      <rPr>
        <sz val="10"/>
        <color theme="1"/>
        <rFont val="ＭＳ ゴシック"/>
        <family val="3"/>
        <charset val="128"/>
      </rPr>
      <t>のため、見積額は</t>
    </r>
    <r>
      <rPr>
        <b/>
        <sz val="10"/>
        <color rgb="FFFF0000"/>
        <rFont val="ＭＳ ゴシック"/>
        <family val="3"/>
        <charset val="128"/>
      </rPr>
      <t>自動的に610</t>
    </r>
    <r>
      <rPr>
        <sz val="10"/>
        <color theme="1"/>
        <rFont val="ＭＳ ゴシック"/>
        <family val="3"/>
        <charset val="128"/>
      </rPr>
      <t>となる</t>
    </r>
    <rPh sb="5" eb="7">
      <t>ケイヤク</t>
    </rPh>
    <rPh sb="8" eb="10">
      <t>ネンメ</t>
    </rPh>
    <rPh sb="12" eb="15">
      <t>ショウガッコウ</t>
    </rPh>
    <rPh sb="16" eb="18">
      <t>ドウイツ</t>
    </rPh>
    <rPh sb="18" eb="22">
      <t>シエンタンイ</t>
    </rPh>
    <rPh sb="26" eb="29">
      <t>ミツモリガク</t>
    </rPh>
    <rPh sb="30" eb="33">
      <t>ジドウテキ</t>
    </rPh>
    <phoneticPr fontId="1"/>
  </si>
  <si>
    <r>
      <t>・ただし、契約1年目の</t>
    </r>
    <r>
      <rPr>
        <b/>
        <sz val="10"/>
        <color rgb="FFFF0000"/>
        <rFont val="ＭＳ ゴシック"/>
        <family val="3"/>
        <charset val="128"/>
      </rPr>
      <t>Ｅ小学校と同一支援単位</t>
    </r>
    <r>
      <rPr>
        <sz val="10"/>
        <color theme="1"/>
        <rFont val="ＭＳ ゴシック"/>
        <family val="3"/>
        <charset val="128"/>
      </rPr>
      <t>のため、見積額は</t>
    </r>
    <r>
      <rPr>
        <b/>
        <sz val="10"/>
        <color rgb="FFFF0000"/>
        <rFont val="ＭＳ ゴシック"/>
        <family val="3"/>
        <charset val="128"/>
      </rPr>
      <t>自動的に820</t>
    </r>
    <r>
      <rPr>
        <sz val="10"/>
        <color theme="1"/>
        <rFont val="ＭＳ ゴシック"/>
        <family val="3"/>
        <charset val="128"/>
      </rPr>
      <t>となる</t>
    </r>
    <rPh sb="5" eb="7">
      <t>ケイヤク</t>
    </rPh>
    <rPh sb="8" eb="10">
      <t>ネンメ</t>
    </rPh>
    <rPh sb="12" eb="15">
      <t>ショウガッコウ</t>
    </rPh>
    <rPh sb="16" eb="18">
      <t>ドウイツ</t>
    </rPh>
    <rPh sb="18" eb="22">
      <t>シエンタンイ</t>
    </rPh>
    <rPh sb="26" eb="29">
      <t>ミツモリガク</t>
    </rPh>
    <rPh sb="30" eb="33">
      <t>ジドウテキ</t>
    </rPh>
    <phoneticPr fontId="1"/>
  </si>
  <si>
    <r>
      <t>・ただし、契約1年目の</t>
    </r>
    <r>
      <rPr>
        <b/>
        <sz val="10"/>
        <color rgb="FFFF0000"/>
        <rFont val="ＭＳ ゴシック"/>
        <family val="3"/>
        <charset val="128"/>
      </rPr>
      <t>Ｃ小学校と同一支援単位</t>
    </r>
    <r>
      <rPr>
        <sz val="10"/>
        <color theme="1"/>
        <rFont val="ＭＳ ゴシック"/>
        <family val="3"/>
        <charset val="128"/>
      </rPr>
      <t>のため、見積額は</t>
    </r>
    <r>
      <rPr>
        <b/>
        <sz val="10"/>
        <color rgb="FFFF0000"/>
        <rFont val="ＭＳ ゴシック"/>
        <family val="3"/>
        <charset val="128"/>
      </rPr>
      <t>自動的に190</t>
    </r>
    <r>
      <rPr>
        <sz val="10"/>
        <color theme="1"/>
        <rFont val="ＭＳ ゴシック"/>
        <family val="3"/>
        <charset val="128"/>
      </rPr>
      <t>となる</t>
    </r>
    <rPh sb="5" eb="7">
      <t>ケイヤク</t>
    </rPh>
    <rPh sb="8" eb="10">
      <t>ネンメ</t>
    </rPh>
    <rPh sb="12" eb="15">
      <t>ショウガッコウ</t>
    </rPh>
    <rPh sb="16" eb="18">
      <t>ドウイツ</t>
    </rPh>
    <rPh sb="18" eb="22">
      <t>シエンタンイ</t>
    </rPh>
    <rPh sb="26" eb="29">
      <t>ミツモリガク</t>
    </rPh>
    <rPh sb="30" eb="33">
      <t>ジドウテキ</t>
    </rPh>
    <phoneticPr fontId="1"/>
  </si>
  <si>
    <t>・総価契約部分（Ａ小学校からＥ小学校までの合計）及び単価契約部分（税込日額×数量）により算出</t>
    <rPh sb="1" eb="3">
      <t>ソウカ</t>
    </rPh>
    <rPh sb="3" eb="5">
      <t>ケイヤク</t>
    </rPh>
    <rPh sb="5" eb="7">
      <t>ブブン</t>
    </rPh>
    <rPh sb="9" eb="12">
      <t>ショウガッコウ</t>
    </rPh>
    <rPh sb="15" eb="18">
      <t>ショウガッコウ</t>
    </rPh>
    <rPh sb="21" eb="23">
      <t>ゴウケイ</t>
    </rPh>
    <rPh sb="24" eb="25">
      <t>オヨ</t>
    </rPh>
    <rPh sb="26" eb="32">
      <t>タンカケイヤクブブン</t>
    </rPh>
    <rPh sb="33" eb="35">
      <t>ゼイコ</t>
    </rPh>
    <rPh sb="35" eb="37">
      <t>ニチガク</t>
    </rPh>
    <rPh sb="38" eb="40">
      <t>スウリョウ</t>
    </rPh>
    <rPh sb="44" eb="46">
      <t>サンシュツ</t>
    </rPh>
    <phoneticPr fontId="1"/>
  </si>
  <si>
    <t>・堺市の積算により設定</t>
    <rPh sb="1" eb="3">
      <t>サカイシ</t>
    </rPh>
    <rPh sb="4" eb="6">
      <t>セキサン</t>
    </rPh>
    <rPh sb="9" eb="11">
      <t>セッテイ</t>
    </rPh>
    <phoneticPr fontId="1"/>
  </si>
  <si>
    <t>予定価格</t>
    <rPh sb="0" eb="4">
      <t>ヨテイカカク</t>
    </rPh>
    <phoneticPr fontId="1"/>
  </si>
  <si>
    <t>・予定価格は契約後も非公表であるが、本資料においては、説明のため便宜的に表示したもの</t>
    <rPh sb="1" eb="5">
      <t>ヨテイカカク</t>
    </rPh>
    <rPh sb="6" eb="9">
      <t>ケイヤクゴ</t>
    </rPh>
    <rPh sb="10" eb="13">
      <t>ヒコウヒョウ</t>
    </rPh>
    <rPh sb="18" eb="21">
      <t>ホンシリョウ</t>
    </rPh>
    <rPh sb="27" eb="29">
      <t>セツメイ</t>
    </rPh>
    <rPh sb="32" eb="35">
      <t>ベンギテキ</t>
    </rPh>
    <rPh sb="36" eb="38">
      <t>ヒョウジ</t>
    </rPh>
    <phoneticPr fontId="1"/>
  </si>
  <si>
    <r>
      <t>・</t>
    </r>
    <r>
      <rPr>
        <b/>
        <sz val="10"/>
        <color rgb="FFFF0000"/>
        <rFont val="ＭＳ ゴシック"/>
        <family val="3"/>
        <charset val="128"/>
      </rPr>
      <t>予定価格の範囲内</t>
    </r>
    <r>
      <rPr>
        <sz val="10"/>
        <color theme="1"/>
        <rFont val="ＭＳ ゴシック"/>
        <family val="3"/>
        <charset val="128"/>
      </rPr>
      <t>とするためには、最大でも500となり、3支援単位や4支援単位との</t>
    </r>
    <r>
      <rPr>
        <b/>
        <sz val="10"/>
        <color rgb="FFFF0000"/>
        <rFont val="ＭＳ ゴシック"/>
        <family val="3"/>
        <charset val="128"/>
      </rPr>
      <t>逆転現象</t>
    </r>
    <r>
      <rPr>
        <sz val="10"/>
        <color theme="1"/>
        <rFont val="ＭＳ ゴシック"/>
        <family val="3"/>
        <charset val="128"/>
      </rPr>
      <t>となる</t>
    </r>
    <rPh sb="1" eb="5">
      <t>ヨテイカカク</t>
    </rPh>
    <rPh sb="6" eb="9">
      <t>ハンイナイ</t>
    </rPh>
    <rPh sb="17" eb="19">
      <t>サイダイ</t>
    </rPh>
    <rPh sb="29" eb="33">
      <t>シエンタンイ</t>
    </rPh>
    <rPh sb="35" eb="39">
      <t>シエンタンイ</t>
    </rPh>
    <rPh sb="41" eb="45">
      <t>ギャクテンゲンショウ</t>
    </rPh>
    <phoneticPr fontId="1"/>
  </si>
  <si>
    <t>・見積額について、1支援単位で100、2支援単位で190にもかかわらず、3支援単位で610、4支援単位で820と総価契約部分を</t>
    <phoneticPr fontId="1"/>
  </si>
  <si>
    <t>　高く見積もると、契約2年目に予定価格を超過する場合がある（予定価格超過の場合、見積書再作成となる）</t>
    <rPh sb="30" eb="36">
      <t>ヨテイカカクチョウカ</t>
    </rPh>
    <rPh sb="37" eb="39">
      <t>バアイ</t>
    </rPh>
    <rPh sb="40" eb="43">
      <t>ミツモリショ</t>
    </rPh>
    <rPh sb="43" eb="46">
      <t>サイサクセイ</t>
    </rPh>
    <phoneticPr fontId="1"/>
  </si>
  <si>
    <t>・総価契約部分については、支援単位（組織の規模）ごとに見積額を積算すること（学校が異なっても、同一の支援単位については平準化し、同一の見積額とすること）</t>
    <rPh sb="1" eb="7">
      <t>ソウカケイヤクブブン</t>
    </rPh>
    <rPh sb="13" eb="17">
      <t>シエンタンイ</t>
    </rPh>
    <rPh sb="18" eb="20">
      <t>ソシキ</t>
    </rPh>
    <rPh sb="21" eb="23">
      <t>キボ</t>
    </rPh>
    <rPh sb="27" eb="29">
      <t>ミツモリ</t>
    </rPh>
    <rPh sb="29" eb="30">
      <t>ガク</t>
    </rPh>
    <rPh sb="31" eb="33">
      <t>セキサン</t>
    </rPh>
    <rPh sb="59" eb="62">
      <t>ヘイジュンカ</t>
    </rPh>
    <phoneticPr fontId="1"/>
  </si>
  <si>
    <t>堺区B</t>
    <rPh sb="0" eb="2">
      <t>サカイク</t>
    </rPh>
    <phoneticPr fontId="1"/>
  </si>
  <si>
    <t>西区B</t>
    <rPh sb="0" eb="2">
      <t>ニシク</t>
    </rPh>
    <phoneticPr fontId="1"/>
  </si>
  <si>
    <t>中区A</t>
    <rPh sb="0" eb="2">
      <t>ナカク</t>
    </rPh>
    <phoneticPr fontId="1"/>
  </si>
  <si>
    <t>美原区</t>
    <rPh sb="0" eb="3">
      <t>ミハラク</t>
    </rPh>
    <phoneticPr fontId="1"/>
  </si>
  <si>
    <t>津久野</t>
    <rPh sb="0" eb="3">
      <t>ツクノ</t>
    </rPh>
    <phoneticPr fontId="1"/>
  </si>
  <si>
    <t>福泉</t>
    <rPh sb="0" eb="2">
      <t>フクイズミ</t>
    </rPh>
    <phoneticPr fontId="1"/>
  </si>
  <si>
    <t>家原寺</t>
    <rPh sb="0" eb="3">
      <t>イエハラテラ</t>
    </rPh>
    <phoneticPr fontId="4"/>
  </si>
  <si>
    <t>福泉上</t>
    <rPh sb="0" eb="2">
      <t>フクイズミ</t>
    </rPh>
    <rPh sb="2" eb="3">
      <t>ウエ</t>
    </rPh>
    <phoneticPr fontId="1"/>
  </si>
  <si>
    <t>福泉東</t>
    <rPh sb="0" eb="2">
      <t>フクイズミ</t>
    </rPh>
    <rPh sb="2" eb="3">
      <t>ヒガシ</t>
    </rPh>
    <phoneticPr fontId="1"/>
  </si>
  <si>
    <t>上野芝</t>
    <rPh sb="0" eb="3">
      <t>ウエノシバ</t>
    </rPh>
    <phoneticPr fontId="1"/>
  </si>
  <si>
    <t>八田荘</t>
    <rPh sb="0" eb="2">
      <t>ハッタ</t>
    </rPh>
    <rPh sb="2" eb="3">
      <t>ショウ</t>
    </rPh>
    <phoneticPr fontId="4"/>
  </si>
  <si>
    <t>久世</t>
    <rPh sb="0" eb="2">
      <t>クゼ</t>
    </rPh>
    <phoneticPr fontId="1"/>
  </si>
  <si>
    <t>八田荘西</t>
    <rPh sb="0" eb="3">
      <t>ハッタショウ</t>
    </rPh>
    <rPh sb="3" eb="4">
      <t>ニシ</t>
    </rPh>
    <phoneticPr fontId="4"/>
  </si>
  <si>
    <t>深井西</t>
    <rPh sb="0" eb="2">
      <t>フカイ</t>
    </rPh>
    <rPh sb="2" eb="3">
      <t>ニシ</t>
    </rPh>
    <phoneticPr fontId="1"/>
  </si>
  <si>
    <t>深阪</t>
    <rPh sb="0" eb="2">
      <t>フカサカ</t>
    </rPh>
    <phoneticPr fontId="2"/>
  </si>
  <si>
    <t>黒山</t>
    <rPh sb="0" eb="2">
      <t>クロヤマ</t>
    </rPh>
    <phoneticPr fontId="3"/>
  </si>
  <si>
    <t>平尾</t>
    <rPh sb="0" eb="2">
      <t>ヒラオ</t>
    </rPh>
    <phoneticPr fontId="3"/>
  </si>
  <si>
    <t>美原北</t>
    <rPh sb="0" eb="2">
      <t>ミハラ</t>
    </rPh>
    <rPh sb="2" eb="3">
      <t>キタ</t>
    </rPh>
    <phoneticPr fontId="3"/>
  </si>
  <si>
    <t>八上</t>
    <rPh sb="0" eb="2">
      <t>ヤカミ</t>
    </rPh>
    <phoneticPr fontId="3"/>
  </si>
  <si>
    <t>美原西</t>
    <rPh sb="0" eb="2">
      <t>ミハラ</t>
    </rPh>
    <rPh sb="2" eb="3">
      <t>ニシ</t>
    </rPh>
    <phoneticPr fontId="3"/>
  </si>
  <si>
    <t>さつき野</t>
    <rPh sb="3" eb="4">
      <t>ノ</t>
    </rPh>
    <phoneticPr fontId="1"/>
  </si>
  <si>
    <t>堺区B</t>
    <rPh sb="0" eb="2">
      <t>サカイク</t>
    </rPh>
    <phoneticPr fontId="4"/>
  </si>
  <si>
    <t>福泉上</t>
    <rPh sb="0" eb="3">
      <t>フクイズミウエ</t>
    </rPh>
    <phoneticPr fontId="1"/>
  </si>
  <si>
    <t>福泉東</t>
    <rPh sb="0" eb="3">
      <t>フクイズミヒガシ</t>
    </rPh>
    <phoneticPr fontId="1"/>
  </si>
  <si>
    <t>中区A</t>
  </si>
  <si>
    <t>中区A</t>
    <rPh sb="0" eb="2">
      <t>ナカク</t>
    </rPh>
    <phoneticPr fontId="4"/>
  </si>
  <si>
    <t>八田荘</t>
    <rPh sb="0" eb="3">
      <t>ハッタショウ</t>
    </rPh>
    <phoneticPr fontId="4"/>
  </si>
  <si>
    <t>美原区</t>
    <rPh sb="0" eb="3">
      <t>ミハラク</t>
    </rPh>
    <phoneticPr fontId="4"/>
  </si>
  <si>
    <t>黒山</t>
    <rPh sb="0" eb="2">
      <t>クロヤマ</t>
    </rPh>
    <phoneticPr fontId="1"/>
  </si>
  <si>
    <t>平尾</t>
    <rPh sb="0" eb="2">
      <t>ヒラオ</t>
    </rPh>
    <phoneticPr fontId="1"/>
  </si>
  <si>
    <t>美原北</t>
    <rPh sb="0" eb="2">
      <t>ミハラ</t>
    </rPh>
    <rPh sb="2" eb="3">
      <t>キタ</t>
    </rPh>
    <phoneticPr fontId="1"/>
  </si>
  <si>
    <t>八上</t>
    <rPh sb="0" eb="2">
      <t>ヤカミ</t>
    </rPh>
    <phoneticPr fontId="1"/>
  </si>
  <si>
    <t>美原西</t>
    <rPh sb="0" eb="2">
      <t>ミハラ</t>
    </rPh>
    <rPh sb="2" eb="3">
      <t>ニシ</t>
    </rPh>
    <phoneticPr fontId="1"/>
  </si>
  <si>
    <t>令和12年度</t>
    <rPh sb="0" eb="2">
      <t>レイワ</t>
    </rPh>
    <rPh sb="4" eb="6">
      <t>ネンド</t>
    </rPh>
    <phoneticPr fontId="1"/>
  </si>
  <si>
    <t>人数</t>
  </si>
  <si>
    <t>税抜日額</t>
    <phoneticPr fontId="1"/>
  </si>
  <si>
    <t>1日保育以外</t>
    <rPh sb="1" eb="2">
      <t>ニチ</t>
    </rPh>
    <rPh sb="2" eb="4">
      <t>ホイク</t>
    </rPh>
    <rPh sb="4" eb="6">
      <t>イガイ</t>
    </rPh>
    <phoneticPr fontId="1"/>
  </si>
  <si>
    <t>1日保育</t>
    <rPh sb="1" eb="2">
      <t>ニチ</t>
    </rPh>
    <rPh sb="2" eb="4">
      <t>ホイク</t>
    </rPh>
    <phoneticPr fontId="1"/>
  </si>
  <si>
    <t>障害等により配慮を要する児童の受入等のために追加配置する指導員</t>
    <phoneticPr fontId="1"/>
  </si>
  <si>
    <t>税抜日額</t>
    <rPh sb="1" eb="2">
      <t>ヌ</t>
    </rPh>
    <phoneticPr fontId="1"/>
  </si>
  <si>
    <t>契約1年目</t>
  </si>
  <si>
    <t>医療的ケア看護職員</t>
    <phoneticPr fontId="1"/>
  </si>
  <si>
    <t>処遇改善</t>
    <phoneticPr fontId="1"/>
  </si>
  <si>
    <t>入札額積算資料</t>
  </si>
  <si>
    <t>税抜日額</t>
    <rPh sb="0" eb="2">
      <t>ゼイヌキ</t>
    </rPh>
    <rPh sb="2" eb="4">
      <t>ニチガク</t>
    </rPh>
    <phoneticPr fontId="1"/>
  </si>
  <si>
    <t>B34セルの基礎数値を入力</t>
    <rPh sb="6" eb="10">
      <t>キソスウチ</t>
    </rPh>
    <rPh sb="11" eb="13">
      <t>ニュウリョク</t>
    </rPh>
    <phoneticPr fontId="1"/>
  </si>
  <si>
    <t>B35セルの基礎数値を入力</t>
    <rPh sb="5" eb="9">
      <t>キソスウチ</t>
    </rPh>
    <rPh sb="10" eb="12">
      <t>ニュウリョク</t>
    </rPh>
    <phoneticPr fontId="1"/>
  </si>
  <si>
    <t>B31セルの基礎数値を入力</t>
    <rPh sb="6" eb="10">
      <t>キソスウチ</t>
    </rPh>
    <rPh sb="11" eb="13">
      <t>ニュウリョク</t>
    </rPh>
    <phoneticPr fontId="1"/>
  </si>
  <si>
    <t>B30セルの基礎数値を入力</t>
    <rPh sb="6" eb="10">
      <t>キソスウチ</t>
    </rPh>
    <rPh sb="11" eb="13">
      <t>ニュウリョク</t>
    </rPh>
    <phoneticPr fontId="1"/>
  </si>
  <si>
    <t>錦</t>
    <rPh sb="0" eb="1">
      <t>ニシキ</t>
    </rPh>
    <phoneticPr fontId="4"/>
  </si>
  <si>
    <t>熊野</t>
    <rPh sb="0" eb="2">
      <t>クマノ</t>
    </rPh>
    <phoneticPr fontId="4"/>
  </si>
  <si>
    <t>榎</t>
    <rPh sb="0" eb="1">
      <t>エノキ</t>
    </rPh>
    <phoneticPr fontId="4"/>
  </si>
  <si>
    <t>三国丘</t>
    <rPh sb="0" eb="2">
      <t>サンゴク</t>
    </rPh>
    <rPh sb="2" eb="3">
      <t>オカ</t>
    </rPh>
    <phoneticPr fontId="4"/>
  </si>
  <si>
    <t>神石</t>
    <rPh sb="0" eb="2">
      <t>ジンセキ</t>
    </rPh>
    <phoneticPr fontId="4"/>
  </si>
  <si>
    <t>大仙</t>
    <rPh sb="0" eb="2">
      <t>ダイセン</t>
    </rPh>
    <phoneticPr fontId="4"/>
  </si>
  <si>
    <t>2年</t>
    <rPh sb="1" eb="2">
      <t>ネン</t>
    </rPh>
    <phoneticPr fontId="1"/>
  </si>
  <si>
    <t>【総価契約部分】人件費及び物件費の計・処遇改善の計</t>
    <phoneticPr fontId="1"/>
  </si>
  <si>
    <t>人件費
（税抜）</t>
    <rPh sb="0" eb="3">
      <t>ジンケンヒ</t>
    </rPh>
    <rPh sb="5" eb="7">
      <t>ゼイヌキ</t>
    </rPh>
    <phoneticPr fontId="1"/>
  </si>
  <si>
    <t>物件費
（税抜）</t>
    <rPh sb="0" eb="3">
      <t>ブッケンヒ</t>
    </rPh>
    <phoneticPr fontId="1"/>
  </si>
  <si>
    <t>人件費と物件費
の計（税抜）</t>
    <rPh sb="0" eb="3">
      <t>ジンケンヒ</t>
    </rPh>
    <rPh sb="4" eb="7">
      <t>ブッケンヒ</t>
    </rPh>
    <rPh sb="9" eb="10">
      <t>ケイ</t>
    </rPh>
    <phoneticPr fontId="1"/>
  </si>
  <si>
    <t>人件費（税抜）
黄色セルに入力</t>
    <rPh sb="0" eb="3">
      <t>ジンケンヒ</t>
    </rPh>
    <rPh sb="4" eb="6">
      <t>ゼイヌキ</t>
    </rPh>
    <rPh sb="8" eb="10">
      <t>キイロ</t>
    </rPh>
    <rPh sb="13" eb="15">
      <t>ニュウリョク</t>
    </rPh>
    <phoneticPr fontId="1"/>
  </si>
  <si>
    <t>物件費（税抜）
黄色セルに入力</t>
    <rPh sb="0" eb="3">
      <t>ブッケンヒ</t>
    </rPh>
    <rPh sb="4" eb="6">
      <t>ゼイヌキ</t>
    </rPh>
    <rPh sb="8" eb="10">
      <t>キイロ</t>
    </rPh>
    <rPh sb="13" eb="15">
      <t>ニュウリョク</t>
    </rPh>
    <phoneticPr fontId="1"/>
  </si>
  <si>
    <t>西区B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</si>
</sst>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176" formatCode="0&quot;人&quot;"/>
    <numFmt numFmtId="177" formatCode="0.0&quot;時&quot;&quot;間&quot;"/>
    <numFmt numFmtId="178" formatCode="0&quot;日&quot;"/>
    <numFmt numFmtId="179" formatCode="#,##0.0;[Red]\-#,##0.0"/>
    <numFmt numFmtId="180" formatCode="0&quot;支援単位&quot;"/>
    <numFmt numFmtId="181" formatCode="0&quot;年間&quot;"/>
    <numFmt numFmtId="182" formatCode="&quot;\　&quot;#,###&quot;円&quot;"/>
    <numFmt numFmtId="183" formatCode="&quot;\　&quot;#,##0&quot;円&quot;"/>
  </numFmts>
  <fonts count="27">
    <font>
      <sz val="11"/>
      <color theme="1"/>
      <name val="Yu Gothic"/>
      <family val="2"/>
      <scheme val="minor"/>
    </font>
    <font>
      <sz val="6"/>
      <name val="Yu Gothic"/>
      <family val="3"/>
      <charset val="128"/>
      <scheme val="minor"/>
    </font>
    <font>
      <sz val="11"/>
      <color theme="1"/>
      <name val="Yu Gothic"/>
      <family val="3"/>
      <charset val="128"/>
      <scheme val="minor"/>
    </font>
    <font>
      <sz val="11"/>
      <color theme="1"/>
      <name val="Yu Gothic"/>
      <family val="2"/>
      <scheme val="minor"/>
    </font>
    <font>
      <sz val="9"/>
      <color theme="1"/>
      <name val="Yu Gothic"/>
      <family val="2"/>
      <scheme val="minor"/>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4"/>
      <color theme="1"/>
      <name val="ＭＳ ゴシック"/>
      <family val="3"/>
      <charset val="128"/>
    </font>
    <font>
      <b/>
      <sz val="20"/>
      <color theme="1"/>
      <name val="ＭＳ ゴシック"/>
      <family val="3"/>
      <charset val="128"/>
    </font>
    <font>
      <sz val="6"/>
      <name val="Yu Gothic"/>
      <family val="2"/>
      <charset val="128"/>
      <scheme val="minor"/>
    </font>
    <font>
      <sz val="11"/>
      <name val="ＭＳ Ｐゴシック"/>
      <family val="3"/>
      <charset val="128"/>
    </font>
    <font>
      <sz val="14"/>
      <name val="ＭＳ 明朝"/>
      <family val="1"/>
      <charset val="128"/>
    </font>
    <font>
      <sz val="9"/>
      <color indexed="81"/>
      <name val="ＭＳ ゴシック"/>
      <family val="3"/>
      <charset val="128"/>
    </font>
    <font>
      <sz val="14"/>
      <color theme="1"/>
      <name val="ＭＳ ゴシック"/>
      <family val="3"/>
      <charset val="128"/>
    </font>
    <font>
      <b/>
      <sz val="10"/>
      <color rgb="FFFF0000"/>
      <name val="Meiryo UI"/>
      <family val="3"/>
      <charset val="128"/>
    </font>
    <font>
      <b/>
      <sz val="10"/>
      <color theme="1"/>
      <name val="Meiryo UI"/>
      <family val="3"/>
      <charset val="128"/>
    </font>
    <font>
      <sz val="10"/>
      <color theme="1"/>
      <name val="Meiryo UI"/>
      <family val="3"/>
      <charset val="128"/>
    </font>
    <font>
      <sz val="11"/>
      <color theme="1"/>
      <name val="Yu Gothic"/>
      <family val="2"/>
      <charset val="128"/>
      <scheme val="minor"/>
    </font>
    <font>
      <sz val="10"/>
      <color rgb="FFFF0000"/>
      <name val="Meiryo UI"/>
      <family val="3"/>
      <charset val="128"/>
    </font>
    <font>
      <sz val="11"/>
      <color rgb="FFFF0000"/>
      <name val="ＭＳ ゴシック"/>
      <family val="3"/>
      <charset val="128"/>
    </font>
    <font>
      <b/>
      <sz val="9"/>
      <color theme="1"/>
      <name val="ＭＳ ゴシック"/>
      <family val="3"/>
      <charset val="128"/>
    </font>
    <font>
      <sz val="10"/>
      <color theme="1"/>
      <name val="ＭＳ ゴシック"/>
      <family val="3"/>
      <charset val="128"/>
    </font>
    <font>
      <b/>
      <sz val="10"/>
      <color theme="1"/>
      <name val="ＭＳ ゴシック"/>
      <family val="3"/>
      <charset val="128"/>
    </font>
    <font>
      <b/>
      <sz val="10"/>
      <color rgb="FFFF0000"/>
      <name val="ＭＳ ゴシック"/>
      <family val="3"/>
      <charset val="128"/>
    </font>
    <font>
      <b/>
      <sz val="12"/>
      <color theme="1"/>
      <name val="ＭＳ ゴシック"/>
      <family val="3"/>
      <charset val="128"/>
    </font>
    <font>
      <b/>
      <sz val="14"/>
      <color rgb="FFFF0000"/>
      <name val="ＭＳ ゴシック"/>
      <family val="3"/>
      <charset val="128"/>
    </font>
  </fonts>
  <fills count="1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rgb="FF92D050"/>
        <bgColor indexed="64"/>
      </patternFill>
    </fill>
    <fill>
      <patternFill patternType="solid">
        <fgColor rgb="FF00B050"/>
        <bgColor indexed="64"/>
      </patternFill>
    </fill>
    <fill>
      <patternFill patternType="solid">
        <fgColor theme="7" tint="0.79998168889431442"/>
        <bgColor indexed="64"/>
      </patternFill>
    </fill>
    <fill>
      <patternFill patternType="solid">
        <fgColor theme="2"/>
        <bgColor indexed="64"/>
      </patternFill>
    </fill>
  </fills>
  <borders count="1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double">
        <color indexed="64"/>
      </bottom>
      <diagonal/>
    </border>
    <border>
      <left/>
      <right style="thin">
        <color indexed="64"/>
      </right>
      <top/>
      <bottom style="medium">
        <color indexed="64"/>
      </bottom>
      <diagonal/>
    </border>
    <border>
      <left style="thin">
        <color indexed="64"/>
      </left>
      <right style="medium">
        <color indexed="64"/>
      </right>
      <top style="double">
        <color indexed="64"/>
      </top>
      <bottom style="thin">
        <color indexed="64"/>
      </bottom>
      <diagonal/>
    </border>
    <border>
      <left style="medium">
        <color indexed="64"/>
      </left>
      <right style="double">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theme="8" tint="0.79998168889431442"/>
      </bottom>
      <diagonal/>
    </border>
    <border>
      <left style="thin">
        <color theme="8" tint="0.79998168889431442"/>
      </left>
      <right style="medium">
        <color indexed="64"/>
      </right>
      <top style="medium">
        <color indexed="64"/>
      </top>
      <bottom style="double">
        <color indexed="64"/>
      </bottom>
      <diagonal/>
    </border>
    <border diagonalDown="1">
      <left style="medium">
        <color indexed="64"/>
      </left>
      <right style="medium">
        <color indexed="64"/>
      </right>
      <top style="medium">
        <color indexed="64"/>
      </top>
      <bottom style="double">
        <color indexed="64"/>
      </bottom>
      <diagonal style="thin">
        <color indexed="64"/>
      </diagonal>
    </border>
    <border>
      <left style="thin">
        <color theme="8" tint="0.79998168889431442"/>
      </left>
      <right/>
      <top style="medium">
        <color indexed="64"/>
      </top>
      <bottom style="double">
        <color indexed="64"/>
      </bottom>
      <diagonal/>
    </border>
    <border>
      <left style="medium">
        <color indexed="64"/>
      </left>
      <right/>
      <top/>
      <bottom style="thin">
        <color indexed="64"/>
      </bottom>
      <diagonal/>
    </border>
    <border>
      <left/>
      <right/>
      <top style="medium">
        <color indexed="64"/>
      </top>
      <bottom style="medium">
        <color indexed="64"/>
      </bottom>
      <diagonal/>
    </border>
    <border>
      <left style="medium">
        <color indexed="64"/>
      </left>
      <right style="thin">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style="double">
        <color indexed="64"/>
      </top>
      <bottom/>
      <diagonal/>
    </border>
    <border diagonalUp="1">
      <left style="thin">
        <color indexed="64"/>
      </left>
      <right style="medium">
        <color indexed="64"/>
      </right>
      <top/>
      <bottom style="thin">
        <color indexed="64"/>
      </bottom>
      <diagonal style="thin">
        <color indexed="64"/>
      </diagonal>
    </border>
    <border>
      <left style="thick">
        <color rgb="FF0070C0"/>
      </left>
      <right style="thick">
        <color rgb="FF0070C0"/>
      </right>
      <top style="thick">
        <color rgb="FF0070C0"/>
      </top>
      <bottom style="thick">
        <color rgb="FF0070C0"/>
      </bottom>
      <diagonal/>
    </border>
    <border>
      <left style="thick">
        <color rgb="FFFF0000"/>
      </left>
      <right style="thick">
        <color rgb="FFFF0000"/>
      </right>
      <top style="thick">
        <color rgb="FFFF0000"/>
      </top>
      <bottom style="thick">
        <color rgb="FFFF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diagonalDown="1">
      <left style="medium">
        <color indexed="64"/>
      </left>
      <right style="medium">
        <color indexed="64"/>
      </right>
      <top style="medium">
        <color indexed="64"/>
      </top>
      <bottom style="medium">
        <color indexed="64"/>
      </bottom>
      <diagonal style="thin">
        <color indexed="64"/>
      </diagonal>
    </border>
    <border>
      <left style="medium">
        <color indexed="64"/>
      </left>
      <right style="thin">
        <color indexed="64"/>
      </right>
      <top style="double">
        <color indexed="64"/>
      </top>
      <bottom style="thin">
        <color indexed="64"/>
      </bottom>
      <diagonal/>
    </border>
    <border>
      <left style="thick">
        <color rgb="FFFF0000"/>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ck">
        <color rgb="FFFF0000"/>
      </left>
      <right/>
      <top style="thin">
        <color indexed="64"/>
      </top>
      <bottom style="medium">
        <color indexed="64"/>
      </bottom>
      <diagonal/>
    </border>
    <border>
      <left style="thin">
        <color indexed="64"/>
      </left>
      <right/>
      <top style="double">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thick">
        <color rgb="FF0070C0"/>
      </right>
      <top style="double">
        <color indexed="64"/>
      </top>
      <bottom style="thin">
        <color indexed="64"/>
      </bottom>
      <diagonal/>
    </border>
    <border>
      <left/>
      <right style="thick">
        <color rgb="FF0070C0"/>
      </right>
      <top style="thin">
        <color indexed="64"/>
      </top>
      <bottom style="medium">
        <color indexed="64"/>
      </bottom>
      <diagonal/>
    </border>
    <border>
      <left/>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medium">
        <color indexed="64"/>
      </top>
      <bottom style="thin">
        <color theme="0"/>
      </bottom>
      <diagonal/>
    </border>
    <border>
      <left style="thin">
        <color indexed="64"/>
      </left>
      <right style="medium">
        <color indexed="64"/>
      </right>
      <top style="thin">
        <color theme="0"/>
      </top>
      <bottom style="thin">
        <color indexed="64"/>
      </bottom>
      <diagonal/>
    </border>
    <border>
      <left style="thin">
        <color indexed="64"/>
      </left>
      <right style="medium">
        <color indexed="64"/>
      </right>
      <top style="thin">
        <color indexed="64"/>
      </top>
      <bottom style="thin">
        <color theme="0"/>
      </bottom>
      <diagonal/>
    </border>
    <border>
      <left style="thin">
        <color indexed="64"/>
      </left>
      <right style="medium">
        <color indexed="64"/>
      </right>
      <top style="thin">
        <color theme="0"/>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medium">
        <color indexed="64"/>
      </top>
      <bottom style="thin">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style="thin">
        <color theme="0"/>
      </top>
      <bottom/>
      <diagonal/>
    </border>
    <border>
      <left style="thin">
        <color indexed="64"/>
      </left>
      <right style="medium">
        <color indexed="64"/>
      </right>
      <top/>
      <bottom style="thin">
        <color theme="0"/>
      </bottom>
      <diagonal/>
    </border>
    <border>
      <left/>
      <right style="thin">
        <color indexed="64"/>
      </right>
      <top style="double">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s>
  <cellStyleXfs count="6">
    <xf numFmtId="0" fontId="0" fillId="0" borderId="0"/>
    <xf numFmtId="0" fontId="2" fillId="0" borderId="0">
      <alignment vertical="center"/>
    </xf>
    <xf numFmtId="38" fontId="3" fillId="0" borderId="0" applyFont="0" applyFill="0" applyBorder="0" applyAlignment="0" applyProtection="0">
      <alignment vertical="center"/>
    </xf>
    <xf numFmtId="0" fontId="11" fillId="0" borderId="0"/>
    <xf numFmtId="0" fontId="12" fillId="0" borderId="0"/>
    <xf numFmtId="0" fontId="18" fillId="0" borderId="0">
      <alignment vertical="center"/>
    </xf>
  </cellStyleXfs>
  <cellXfs count="504">
    <xf numFmtId="0" fontId="0" fillId="0" borderId="0" xfId="0"/>
    <xf numFmtId="0" fontId="6" fillId="0" borderId="0" xfId="0" applyFont="1" applyAlignment="1">
      <alignment horizontal="left" vertical="center"/>
    </xf>
    <xf numFmtId="0" fontId="5" fillId="0" borderId="3" xfId="0" applyFont="1" applyBorder="1" applyAlignment="1">
      <alignment horizontal="center" vertical="center" shrinkToFit="1"/>
    </xf>
    <xf numFmtId="176" fontId="5" fillId="0" borderId="3" xfId="0" applyNumberFormat="1" applyFont="1" applyBorder="1" applyAlignment="1">
      <alignment horizontal="center" vertical="center" shrinkToFit="1"/>
    </xf>
    <xf numFmtId="176" fontId="5" fillId="0" borderId="1" xfId="0" applyNumberFormat="1" applyFont="1" applyBorder="1" applyAlignment="1">
      <alignment horizontal="center" vertical="center" shrinkToFit="1"/>
    </xf>
    <xf numFmtId="0" fontId="5" fillId="0" borderId="0" xfId="0" applyFont="1" applyAlignment="1">
      <alignment vertical="center" shrinkToFit="1"/>
    </xf>
    <xf numFmtId="0" fontId="6" fillId="0" borderId="0" xfId="0" applyFont="1" applyAlignment="1">
      <alignment vertical="center" shrinkToFit="1"/>
    </xf>
    <xf numFmtId="0" fontId="5" fillId="0" borderId="0" xfId="0" applyFont="1" applyAlignment="1">
      <alignment horizontal="centerContinuous" vertical="center" shrinkToFit="1"/>
    </xf>
    <xf numFmtId="0" fontId="5" fillId="0" borderId="0" xfId="0" applyFont="1" applyAlignment="1">
      <alignment horizontal="right" vertical="center" shrinkToFit="1"/>
    </xf>
    <xf numFmtId="0" fontId="5" fillId="0" borderId="0" xfId="0" applyFont="1" applyAlignment="1">
      <alignment horizontal="left" vertical="center" shrinkToFit="1"/>
    </xf>
    <xf numFmtId="0" fontId="6" fillId="0" borderId="0" xfId="0" applyFont="1" applyAlignment="1">
      <alignment horizontal="right" vertical="center" shrinkToFit="1"/>
    </xf>
    <xf numFmtId="0" fontId="5" fillId="0" borderId="0" xfId="0" applyFont="1" applyAlignment="1">
      <alignment horizontal="center" vertical="center" shrinkToFit="1"/>
    </xf>
    <xf numFmtId="9" fontId="5" fillId="0" borderId="0" xfId="0" applyNumberFormat="1" applyFont="1" applyAlignment="1">
      <alignment vertical="center" shrinkToFit="1"/>
    </xf>
    <xf numFmtId="38" fontId="5" fillId="0" borderId="0" xfId="2" applyFont="1" applyAlignment="1">
      <alignment vertical="center" shrinkToFit="1"/>
    </xf>
    <xf numFmtId="0" fontId="5" fillId="0" borderId="1" xfId="0" applyFont="1" applyBorder="1" applyAlignment="1">
      <alignment horizontal="center" vertical="center" shrinkToFit="1"/>
    </xf>
    <xf numFmtId="0" fontId="14" fillId="0" borderId="0" xfId="0" applyFont="1" applyAlignment="1">
      <alignment horizontal="center" vertical="center" shrinkToFit="1"/>
    </xf>
    <xf numFmtId="0" fontId="5" fillId="2" borderId="70" xfId="0" applyFont="1" applyFill="1" applyBorder="1" applyAlignment="1">
      <alignment horizontal="center" vertical="center" shrinkToFit="1"/>
    </xf>
    <xf numFmtId="0" fontId="5" fillId="2" borderId="71" xfId="0" applyFont="1" applyFill="1" applyBorder="1" applyAlignment="1">
      <alignment horizontal="center" vertical="center" shrinkToFit="1"/>
    </xf>
    <xf numFmtId="0" fontId="5" fillId="2" borderId="72" xfId="0" applyFont="1" applyFill="1" applyBorder="1" applyAlignment="1">
      <alignment horizontal="center" vertical="center" shrinkToFit="1"/>
    </xf>
    <xf numFmtId="180" fontId="5" fillId="0" borderId="3" xfId="0" applyNumberFormat="1" applyFont="1" applyBorder="1" applyAlignment="1">
      <alignment horizontal="center" vertical="center" shrinkToFit="1"/>
    </xf>
    <xf numFmtId="0" fontId="5" fillId="2" borderId="30" xfId="0" applyFont="1" applyFill="1" applyBorder="1" applyAlignment="1">
      <alignment horizontal="center" vertical="center" shrinkToFit="1"/>
    </xf>
    <xf numFmtId="0" fontId="5" fillId="2" borderId="31" xfId="0" applyFont="1" applyFill="1" applyBorder="1" applyAlignment="1">
      <alignment horizontal="center" vertical="center" shrinkToFit="1"/>
    </xf>
    <xf numFmtId="0" fontId="5" fillId="2" borderId="51" xfId="0" applyFont="1" applyFill="1" applyBorder="1" applyAlignment="1">
      <alignment horizontal="center" vertical="center" shrinkToFit="1"/>
    </xf>
    <xf numFmtId="0" fontId="7" fillId="2" borderId="30" xfId="0" applyFont="1" applyFill="1" applyBorder="1" applyAlignment="1">
      <alignment horizontal="center" vertical="center" shrinkToFit="1"/>
    </xf>
    <xf numFmtId="0" fontId="7" fillId="2" borderId="31"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5" fillId="0" borderId="7" xfId="0" applyFont="1" applyBorder="1" applyAlignment="1">
      <alignment horizontal="center" vertical="center" shrinkToFit="1"/>
    </xf>
    <xf numFmtId="38" fontId="5" fillId="0" borderId="7" xfId="2" applyFont="1" applyFill="1" applyBorder="1" applyAlignment="1">
      <alignment horizontal="center" vertical="center" shrinkToFit="1"/>
    </xf>
    <xf numFmtId="38" fontId="5" fillId="0" borderId="8" xfId="2" applyFont="1" applyFill="1" applyBorder="1" applyAlignment="1">
      <alignment horizontal="center" vertical="center" shrinkToFit="1"/>
    </xf>
    <xf numFmtId="180" fontId="5" fillId="0" borderId="1" xfId="0" applyNumberFormat="1" applyFont="1" applyBorder="1" applyAlignment="1">
      <alignment horizontal="center" vertical="center" shrinkToFit="1"/>
    </xf>
    <xf numFmtId="0" fontId="5" fillId="0" borderId="10" xfId="0" applyFont="1" applyBorder="1" applyAlignment="1">
      <alignment horizontal="center" vertical="center" shrinkToFit="1"/>
    </xf>
    <xf numFmtId="38" fontId="5" fillId="0" borderId="1" xfId="2" applyFont="1" applyFill="1" applyBorder="1" applyAlignment="1">
      <alignment horizontal="center" vertical="center" shrinkToFit="1"/>
    </xf>
    <xf numFmtId="38" fontId="5" fillId="0" borderId="10" xfId="2" applyFont="1" applyFill="1" applyBorder="1" applyAlignment="1">
      <alignment horizontal="center" vertical="center" shrinkToFit="1"/>
    </xf>
    <xf numFmtId="180" fontId="5" fillId="0" borderId="12" xfId="0" applyNumberFormat="1" applyFont="1" applyBorder="1" applyAlignment="1">
      <alignment horizontal="center" vertical="center" shrinkToFit="1"/>
    </xf>
    <xf numFmtId="0" fontId="5" fillId="0" borderId="12" xfId="0" applyFont="1" applyBorder="1" applyAlignment="1">
      <alignment horizontal="center" vertical="center" shrinkToFit="1"/>
    </xf>
    <xf numFmtId="38" fontId="5" fillId="0" borderId="12" xfId="2" applyFont="1" applyFill="1" applyBorder="1" applyAlignment="1">
      <alignment horizontal="center" vertical="center" shrinkToFit="1"/>
    </xf>
    <xf numFmtId="38" fontId="5" fillId="0" borderId="13" xfId="2" applyFont="1" applyFill="1" applyBorder="1" applyAlignment="1">
      <alignment horizontal="center" vertical="center" shrinkToFit="1"/>
    </xf>
    <xf numFmtId="0" fontId="5" fillId="0" borderId="13" xfId="0" applyFont="1" applyBorder="1" applyAlignment="1">
      <alignment horizontal="center" vertical="center" shrinkToFit="1"/>
    </xf>
    <xf numFmtId="0" fontId="5" fillId="0" borderId="2" xfId="0" applyFont="1" applyBorder="1" applyAlignment="1">
      <alignment horizontal="center" vertical="center" shrinkToFit="1"/>
    </xf>
    <xf numFmtId="38" fontId="5" fillId="0" borderId="2" xfId="2" applyFont="1" applyFill="1" applyBorder="1" applyAlignment="1">
      <alignment horizontal="center" vertical="center" shrinkToFit="1"/>
    </xf>
    <xf numFmtId="38" fontId="5" fillId="0" borderId="34" xfId="2" applyFont="1" applyFill="1" applyBorder="1" applyAlignment="1">
      <alignment horizontal="center" vertical="center" shrinkToFit="1"/>
    </xf>
    <xf numFmtId="38" fontId="5" fillId="0" borderId="0" xfId="2" applyFont="1" applyAlignment="1">
      <alignment horizontal="center" vertical="center" shrinkToFit="1"/>
    </xf>
    <xf numFmtId="0" fontId="5" fillId="2" borderId="32" xfId="0" applyFont="1" applyFill="1" applyBorder="1" applyAlignment="1">
      <alignment horizontal="center" vertical="center" shrinkToFit="1"/>
    </xf>
    <xf numFmtId="0" fontId="5" fillId="0" borderId="35" xfId="0" applyFont="1" applyBorder="1" applyAlignment="1">
      <alignment horizontal="center" vertical="center" shrinkToFit="1"/>
    </xf>
    <xf numFmtId="0" fontId="5" fillId="0" borderId="16" xfId="0" applyFont="1" applyBorder="1" applyAlignment="1">
      <alignment horizontal="center" vertical="center" shrinkToFit="1"/>
    </xf>
    <xf numFmtId="38" fontId="5" fillId="0" borderId="35" xfId="2" applyFont="1" applyBorder="1" applyAlignment="1">
      <alignment horizontal="right" vertical="center" shrinkToFit="1"/>
    </xf>
    <xf numFmtId="38" fontId="5" fillId="0" borderId="40" xfId="2" applyFont="1" applyBorder="1" applyAlignment="1">
      <alignment horizontal="right" vertical="center" shrinkToFit="1"/>
    </xf>
    <xf numFmtId="0" fontId="5" fillId="0" borderId="37" xfId="0" applyFont="1" applyBorder="1" applyAlignment="1">
      <alignment vertical="center" shrinkToFit="1"/>
    </xf>
    <xf numFmtId="38" fontId="5" fillId="0" borderId="55" xfId="0" applyNumberFormat="1" applyFont="1" applyBorder="1" applyAlignment="1">
      <alignment vertical="center" shrinkToFit="1"/>
    </xf>
    <xf numFmtId="38" fontId="5" fillId="0" borderId="15" xfId="2" applyFont="1" applyBorder="1" applyAlignment="1">
      <alignment horizontal="right" vertical="center" shrinkToFit="1"/>
    </xf>
    <xf numFmtId="180" fontId="5" fillId="3" borderId="7" xfId="0" applyNumberFormat="1" applyFont="1" applyFill="1" applyBorder="1" applyAlignment="1" applyProtection="1">
      <alignment horizontal="center" vertical="center" shrinkToFit="1"/>
      <protection locked="0"/>
    </xf>
    <xf numFmtId="180" fontId="5" fillId="3" borderId="1" xfId="0" applyNumberFormat="1" applyFont="1" applyFill="1" applyBorder="1" applyAlignment="1" applyProtection="1">
      <alignment horizontal="center" vertical="center" shrinkToFit="1"/>
      <protection locked="0"/>
    </xf>
    <xf numFmtId="180" fontId="5" fillId="3" borderId="12" xfId="0" applyNumberFormat="1" applyFont="1" applyFill="1" applyBorder="1" applyAlignment="1" applyProtection="1">
      <alignment horizontal="center" vertical="center" shrinkToFit="1"/>
      <protection locked="0"/>
    </xf>
    <xf numFmtId="180" fontId="5" fillId="3" borderId="2" xfId="0" applyNumberFormat="1" applyFont="1" applyFill="1" applyBorder="1" applyAlignment="1" applyProtection="1">
      <alignment horizontal="center" vertical="center" shrinkToFit="1"/>
      <protection locked="0"/>
    </xf>
    <xf numFmtId="0" fontId="5" fillId="3" borderId="7" xfId="0" applyFont="1" applyFill="1" applyBorder="1" applyAlignment="1" applyProtection="1">
      <alignment horizontal="center" vertical="center" shrinkToFit="1"/>
      <protection locked="0"/>
    </xf>
    <xf numFmtId="0" fontId="5" fillId="3" borderId="1" xfId="0" applyFont="1" applyFill="1" applyBorder="1" applyAlignment="1" applyProtection="1">
      <alignment horizontal="center" vertical="center" shrinkToFit="1"/>
      <protection locked="0"/>
    </xf>
    <xf numFmtId="0" fontId="5" fillId="3" borderId="12" xfId="0" applyFont="1" applyFill="1" applyBorder="1" applyAlignment="1" applyProtection="1">
      <alignment horizontal="center" vertical="center" shrinkToFit="1"/>
      <protection locked="0"/>
    </xf>
    <xf numFmtId="0" fontId="5" fillId="3" borderId="2" xfId="0" applyFont="1" applyFill="1" applyBorder="1" applyAlignment="1" applyProtection="1">
      <alignment horizontal="center" vertical="center" shrinkToFit="1"/>
      <protection locked="0"/>
    </xf>
    <xf numFmtId="38" fontId="5" fillId="3" borderId="10" xfId="2" applyFont="1" applyFill="1" applyBorder="1" applyAlignment="1" applyProtection="1">
      <alignment horizontal="center" vertical="center" shrinkToFit="1"/>
      <protection locked="0"/>
    </xf>
    <xf numFmtId="38" fontId="5" fillId="3" borderId="13" xfId="2" applyFont="1" applyFill="1" applyBorder="1" applyAlignment="1" applyProtection="1">
      <alignment horizontal="center" vertical="center" shrinkToFit="1"/>
      <protection locked="0"/>
    </xf>
    <xf numFmtId="0" fontId="5" fillId="2" borderId="62" xfId="0" applyFont="1" applyFill="1" applyBorder="1" applyAlignment="1">
      <alignment horizontal="center" vertical="center" shrinkToFit="1"/>
    </xf>
    <xf numFmtId="0" fontId="6" fillId="3" borderId="5" xfId="0" applyFont="1" applyFill="1" applyBorder="1" applyAlignment="1" applyProtection="1">
      <alignment horizontal="center" vertical="center" shrinkToFit="1"/>
      <protection locked="0"/>
    </xf>
    <xf numFmtId="176" fontId="5" fillId="0" borderId="15" xfId="0" applyNumberFormat="1" applyFont="1" applyBorder="1" applyAlignment="1">
      <alignment horizontal="center" vertical="center" shrinkToFit="1"/>
    </xf>
    <xf numFmtId="176" fontId="5" fillId="0" borderId="10" xfId="0" applyNumberFormat="1" applyFont="1" applyBorder="1" applyAlignment="1">
      <alignment horizontal="center" vertical="center" shrinkToFit="1"/>
    </xf>
    <xf numFmtId="176" fontId="5" fillId="0" borderId="74" xfId="0" applyNumberFormat="1" applyFont="1" applyBorder="1" applyAlignment="1">
      <alignment vertical="center" shrinkToFit="1"/>
    </xf>
    <xf numFmtId="49" fontId="6" fillId="0" borderId="0" xfId="0" applyNumberFormat="1" applyFont="1" applyAlignment="1">
      <alignment vertical="center" shrinkToFit="1"/>
    </xf>
    <xf numFmtId="38" fontId="5" fillId="0" borderId="3" xfId="2" applyFont="1" applyFill="1" applyBorder="1" applyAlignment="1" applyProtection="1">
      <alignment horizontal="right" vertical="center" shrinkToFit="1"/>
    </xf>
    <xf numFmtId="38" fontId="5" fillId="0" borderId="1" xfId="2" applyFont="1" applyFill="1" applyBorder="1" applyAlignment="1" applyProtection="1">
      <alignment horizontal="right" vertical="center" shrinkToFit="1"/>
    </xf>
    <xf numFmtId="38" fontId="5" fillId="0" borderId="10" xfId="2" applyFont="1" applyBorder="1" applyAlignment="1">
      <alignment horizontal="right" vertical="center" shrinkToFit="1"/>
    </xf>
    <xf numFmtId="0" fontId="5" fillId="2" borderId="57" xfId="0" applyFont="1" applyFill="1" applyBorder="1" applyAlignment="1">
      <alignment horizontal="center" vertical="center" shrinkToFit="1"/>
    </xf>
    <xf numFmtId="0" fontId="5" fillId="0" borderId="53" xfId="0" applyFont="1" applyBorder="1" applyAlignment="1">
      <alignment horizontal="center" vertical="center" shrinkToFit="1"/>
    </xf>
    <xf numFmtId="0" fontId="5" fillId="0" borderId="54" xfId="0" applyFont="1" applyBorder="1" applyAlignment="1">
      <alignment horizontal="center" vertical="center" shrinkToFit="1"/>
    </xf>
    <xf numFmtId="0" fontId="5" fillId="0" borderId="56" xfId="0" applyFont="1" applyBorder="1" applyAlignment="1">
      <alignment horizontal="center" vertical="center" shrinkToFit="1"/>
    </xf>
    <xf numFmtId="0" fontId="5" fillId="0" borderId="80"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1"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17" xfId="0" applyFont="1" applyBorder="1" applyAlignment="1">
      <alignment horizontal="center" vertical="center" shrinkToFit="1"/>
    </xf>
    <xf numFmtId="0" fontId="5" fillId="0" borderId="40" xfId="0" applyFont="1" applyBorder="1" applyAlignment="1">
      <alignment horizontal="center" vertical="center" shrinkToFit="1"/>
    </xf>
    <xf numFmtId="0" fontId="5" fillId="0" borderId="15" xfId="0" applyFont="1" applyBorder="1" applyAlignment="1">
      <alignment horizontal="center" vertical="center" shrinkToFit="1"/>
    </xf>
    <xf numFmtId="0" fontId="6" fillId="2" borderId="59" xfId="0" applyFont="1" applyFill="1" applyBorder="1" applyAlignment="1">
      <alignment horizontal="center" vertical="center" shrinkToFit="1"/>
    </xf>
    <xf numFmtId="0" fontId="5" fillId="0" borderId="26" xfId="0" applyFont="1" applyBorder="1" applyAlignment="1">
      <alignment horizontal="center" vertical="center" shrinkToFit="1"/>
    </xf>
    <xf numFmtId="0" fontId="5" fillId="0" borderId="37" xfId="0" applyFont="1" applyBorder="1" applyAlignment="1">
      <alignment horizontal="center" vertical="center" shrinkToFit="1"/>
    </xf>
    <xf numFmtId="0" fontId="5" fillId="0" borderId="28" xfId="0" applyFont="1" applyBorder="1" applyAlignment="1">
      <alignment horizontal="center" vertical="center" shrinkToFit="1"/>
    </xf>
    <xf numFmtId="38" fontId="5" fillId="0" borderId="34" xfId="2" applyFont="1" applyBorder="1" applyAlignment="1">
      <alignment horizontal="right" vertical="center" shrinkToFit="1"/>
    </xf>
    <xf numFmtId="38" fontId="5" fillId="0" borderId="0" xfId="0" applyNumberFormat="1" applyFont="1" applyAlignment="1">
      <alignment vertical="center" shrinkToFit="1"/>
    </xf>
    <xf numFmtId="176" fontId="5" fillId="0" borderId="0" xfId="0" applyNumberFormat="1" applyFont="1" applyAlignment="1">
      <alignment vertical="center" shrinkToFit="1"/>
    </xf>
    <xf numFmtId="38" fontId="5" fillId="0" borderId="87" xfId="2" applyFont="1" applyBorder="1" applyAlignment="1">
      <alignment horizontal="right" vertical="center" shrinkToFit="1"/>
    </xf>
    <xf numFmtId="176" fontId="5" fillId="0" borderId="74" xfId="0" applyNumberFormat="1" applyFont="1" applyBorder="1" applyAlignment="1">
      <alignment horizontal="center" vertical="center" shrinkToFit="1"/>
    </xf>
    <xf numFmtId="0" fontId="5" fillId="0" borderId="85" xfId="0" applyFont="1" applyBorder="1" applyAlignment="1">
      <alignment vertical="center" shrinkToFit="1"/>
    </xf>
    <xf numFmtId="38" fontId="5" fillId="0" borderId="89" xfId="0" applyNumberFormat="1" applyFont="1" applyBorder="1" applyAlignment="1">
      <alignment vertical="center" shrinkToFit="1"/>
    </xf>
    <xf numFmtId="38" fontId="5" fillId="2" borderId="23" xfId="2" applyFont="1" applyFill="1" applyBorder="1" applyAlignment="1">
      <alignment horizontal="center" vertical="center" shrinkToFit="1"/>
    </xf>
    <xf numFmtId="0" fontId="15" fillId="4" borderId="90" xfId="5" applyFont="1" applyFill="1" applyBorder="1" applyAlignment="1" applyProtection="1">
      <alignment horizontal="center" vertical="center"/>
      <protection locked="0"/>
    </xf>
    <xf numFmtId="0" fontId="16" fillId="4" borderId="46" xfId="5" applyFont="1" applyFill="1" applyBorder="1" applyAlignment="1">
      <alignment horizontal="center" vertical="center"/>
    </xf>
    <xf numFmtId="0" fontId="16" fillId="4" borderId="77" xfId="5" applyFont="1" applyFill="1" applyBorder="1" applyAlignment="1">
      <alignment horizontal="center" vertical="center"/>
    </xf>
    <xf numFmtId="0" fontId="16" fillId="4" borderId="91" xfId="5" applyFont="1" applyFill="1" applyBorder="1" applyAlignment="1">
      <alignment horizontal="center" vertical="center"/>
    </xf>
    <xf numFmtId="0" fontId="16" fillId="4" borderId="78" xfId="5" applyFont="1" applyFill="1" applyBorder="1" applyAlignment="1">
      <alignment horizontal="center" vertical="center"/>
    </xf>
    <xf numFmtId="0" fontId="17" fillId="0" borderId="0" xfId="5" applyFont="1" applyAlignment="1">
      <alignment horizontal="center" vertical="center"/>
    </xf>
    <xf numFmtId="0" fontId="17" fillId="4" borderId="75" xfId="5" applyFont="1" applyFill="1" applyBorder="1" applyAlignment="1">
      <alignment horizontal="center" vertical="center"/>
    </xf>
    <xf numFmtId="0" fontId="17" fillId="0" borderId="81" xfId="5" applyFont="1" applyBorder="1" applyAlignment="1">
      <alignment horizontal="center" vertical="center"/>
    </xf>
    <xf numFmtId="0" fontId="17" fillId="0" borderId="17" xfId="5" applyFont="1" applyBorder="1" applyAlignment="1">
      <alignment horizontal="center" vertical="center"/>
    </xf>
    <xf numFmtId="0" fontId="17" fillId="0" borderId="15" xfId="5" applyFont="1" applyBorder="1" applyAlignment="1">
      <alignment horizontal="center" vertical="center"/>
    </xf>
    <xf numFmtId="0" fontId="17" fillId="0" borderId="61" xfId="5" applyFont="1" applyBorder="1" applyAlignment="1">
      <alignment horizontal="center" vertical="center"/>
    </xf>
    <xf numFmtId="0" fontId="17" fillId="0" borderId="40" xfId="5" applyFont="1" applyBorder="1" applyAlignment="1">
      <alignment horizontal="center" vertical="center"/>
    </xf>
    <xf numFmtId="0" fontId="17" fillId="0" borderId="49" xfId="5" applyFont="1" applyBorder="1" applyAlignment="1">
      <alignment horizontal="center" vertical="center"/>
    </xf>
    <xf numFmtId="0" fontId="17" fillId="0" borderId="9" xfId="5" applyFont="1" applyBorder="1" applyAlignment="1">
      <alignment horizontal="center" vertical="center"/>
    </xf>
    <xf numFmtId="0" fontId="17" fillId="0" borderId="10" xfId="5" applyFont="1" applyBorder="1" applyAlignment="1">
      <alignment horizontal="center" vertical="center"/>
    </xf>
    <xf numFmtId="0" fontId="17" fillId="0" borderId="38" xfId="5" applyFont="1" applyBorder="1" applyAlignment="1">
      <alignment horizontal="center" vertical="center"/>
    </xf>
    <xf numFmtId="0" fontId="17" fillId="0" borderId="35" xfId="5" applyFont="1" applyBorder="1" applyAlignment="1">
      <alignment horizontal="center" vertical="center"/>
    </xf>
    <xf numFmtId="0" fontId="16" fillId="4" borderId="90" xfId="5" applyFont="1" applyFill="1" applyBorder="1" applyAlignment="1">
      <alignment horizontal="center" vertical="center"/>
    </xf>
    <xf numFmtId="0" fontId="17" fillId="0" borderId="0" xfId="5" applyFont="1" applyAlignment="1">
      <alignment horizontal="center" vertical="center" shrinkToFit="1"/>
    </xf>
    <xf numFmtId="0" fontId="17" fillId="0" borderId="5" xfId="5" applyFont="1" applyBorder="1" applyAlignment="1">
      <alignment horizontal="center" vertical="center"/>
    </xf>
    <xf numFmtId="0" fontId="17" fillId="0" borderId="11" xfId="5" applyFont="1" applyBorder="1" applyAlignment="1">
      <alignment horizontal="center" vertical="center"/>
    </xf>
    <xf numFmtId="0" fontId="17" fillId="0" borderId="13" xfId="5" applyFont="1" applyBorder="1" applyAlignment="1">
      <alignment horizontal="center" vertical="center"/>
    </xf>
    <xf numFmtId="0" fontId="17" fillId="0" borderId="39" xfId="5" applyFont="1" applyBorder="1" applyAlignment="1">
      <alignment horizontal="center" vertical="center"/>
    </xf>
    <xf numFmtId="0" fontId="17" fillId="0" borderId="16" xfId="5" applyFont="1" applyBorder="1" applyAlignment="1">
      <alignment horizontal="center" vertical="center"/>
    </xf>
    <xf numFmtId="0" fontId="16" fillId="4" borderId="79" xfId="5" applyFont="1" applyFill="1" applyBorder="1" applyAlignment="1">
      <alignment horizontal="center" vertical="center"/>
    </xf>
    <xf numFmtId="0" fontId="17" fillId="7" borderId="38" xfId="5" applyFont="1" applyFill="1" applyBorder="1" applyAlignment="1">
      <alignment horizontal="center" vertical="center"/>
    </xf>
    <xf numFmtId="0" fontId="17" fillId="7" borderId="10" xfId="5" applyFont="1" applyFill="1" applyBorder="1" applyAlignment="1">
      <alignment horizontal="center" vertical="center"/>
    </xf>
    <xf numFmtId="0" fontId="17" fillId="7" borderId="9" xfId="5" applyFont="1" applyFill="1" applyBorder="1" applyAlignment="1">
      <alignment horizontal="center" vertical="center"/>
    </xf>
    <xf numFmtId="0" fontId="17" fillId="5" borderId="38" xfId="5" applyFont="1" applyFill="1" applyBorder="1" applyAlignment="1">
      <alignment horizontal="center" vertical="center"/>
    </xf>
    <xf numFmtId="0" fontId="17" fillId="5" borderId="10" xfId="5" applyFont="1" applyFill="1" applyBorder="1" applyAlignment="1">
      <alignment horizontal="center" vertical="center"/>
    </xf>
    <xf numFmtId="0" fontId="17" fillId="5" borderId="9" xfId="5" applyFont="1" applyFill="1" applyBorder="1" applyAlignment="1">
      <alignment horizontal="center" vertical="center"/>
    </xf>
    <xf numFmtId="0" fontId="17" fillId="8" borderId="38" xfId="5" applyFont="1" applyFill="1" applyBorder="1" applyAlignment="1">
      <alignment horizontal="center" vertical="center"/>
    </xf>
    <xf numFmtId="0" fontId="17" fillId="8" borderId="10" xfId="5" applyFont="1" applyFill="1" applyBorder="1" applyAlignment="1">
      <alignment horizontal="center" vertical="center"/>
    </xf>
    <xf numFmtId="0" fontId="17" fillId="8" borderId="9" xfId="5" applyFont="1" applyFill="1" applyBorder="1" applyAlignment="1">
      <alignment horizontal="center" vertical="center"/>
    </xf>
    <xf numFmtId="0" fontId="17" fillId="9" borderId="38" xfId="5" applyFont="1" applyFill="1" applyBorder="1" applyAlignment="1">
      <alignment horizontal="center" vertical="center"/>
    </xf>
    <xf numFmtId="0" fontId="17" fillId="9" borderId="10" xfId="5" applyFont="1" applyFill="1" applyBorder="1" applyAlignment="1">
      <alignment horizontal="center" vertical="center"/>
    </xf>
    <xf numFmtId="0" fontId="17" fillId="9" borderId="9" xfId="5" applyFont="1" applyFill="1" applyBorder="1" applyAlignment="1">
      <alignment horizontal="center" vertical="center"/>
    </xf>
    <xf numFmtId="0" fontId="17" fillId="10" borderId="39" xfId="5" applyFont="1" applyFill="1" applyBorder="1" applyAlignment="1">
      <alignment horizontal="center" vertical="center"/>
    </xf>
    <xf numFmtId="0" fontId="17" fillId="10" borderId="13" xfId="5" applyFont="1" applyFill="1" applyBorder="1" applyAlignment="1">
      <alignment horizontal="center" vertical="center"/>
    </xf>
    <xf numFmtId="0" fontId="17" fillId="10" borderId="11" xfId="5" applyFont="1" applyFill="1" applyBorder="1" applyAlignment="1">
      <alignment horizontal="center" vertical="center"/>
    </xf>
    <xf numFmtId="0" fontId="17" fillId="10" borderId="34" xfId="5" applyFont="1" applyFill="1" applyBorder="1" applyAlignment="1">
      <alignment horizontal="center" vertical="center"/>
    </xf>
    <xf numFmtId="0" fontId="17" fillId="0" borderId="44" xfId="5" applyFont="1" applyBorder="1" applyAlignment="1">
      <alignment horizontal="center" vertical="center"/>
    </xf>
    <xf numFmtId="0" fontId="17" fillId="4" borderId="92" xfId="5" applyFont="1" applyFill="1" applyBorder="1" applyAlignment="1">
      <alignment horizontal="center" vertical="center"/>
    </xf>
    <xf numFmtId="0" fontId="16" fillId="4" borderId="93" xfId="5" applyFont="1" applyFill="1" applyBorder="1" applyAlignment="1">
      <alignment horizontal="center" vertical="center"/>
    </xf>
    <xf numFmtId="0" fontId="17" fillId="11" borderId="8" xfId="5" applyFont="1" applyFill="1" applyBorder="1" applyAlignment="1" applyProtection="1">
      <alignment horizontal="center" vertical="center"/>
      <protection locked="0"/>
    </xf>
    <xf numFmtId="0" fontId="17" fillId="11" borderId="10" xfId="5" applyFont="1" applyFill="1" applyBorder="1" applyAlignment="1" applyProtection="1">
      <alignment horizontal="center" vertical="center"/>
      <protection locked="0"/>
    </xf>
    <xf numFmtId="0" fontId="17" fillId="11" borderId="13" xfId="5" applyFont="1" applyFill="1" applyBorder="1" applyAlignment="1" applyProtection="1">
      <alignment horizontal="center" vertical="center"/>
      <protection locked="0"/>
    </xf>
    <xf numFmtId="0" fontId="16" fillId="4" borderId="21" xfId="0" applyFont="1" applyFill="1" applyBorder="1" applyAlignment="1">
      <alignment horizontal="center" vertical="center" shrinkToFit="1"/>
    </xf>
    <xf numFmtId="0" fontId="17" fillId="0" borderId="3" xfId="0" applyFont="1" applyBorder="1" applyAlignment="1">
      <alignment horizontal="center" vertical="center" shrinkToFit="1"/>
    </xf>
    <xf numFmtId="0" fontId="17" fillId="0" borderId="1" xfId="0" applyFont="1" applyBorder="1" applyAlignment="1">
      <alignment horizontal="center" vertical="center" shrinkToFit="1"/>
    </xf>
    <xf numFmtId="0" fontId="17" fillId="0" borderId="12" xfId="0" applyFont="1" applyBorder="1" applyAlignment="1">
      <alignment horizontal="center" vertical="center" shrinkToFit="1"/>
    </xf>
    <xf numFmtId="0" fontId="16" fillId="4" borderId="47" xfId="0" applyFont="1" applyFill="1" applyBorder="1" applyAlignment="1">
      <alignment horizontal="center" vertical="center" shrinkToFit="1"/>
    </xf>
    <xf numFmtId="0" fontId="17" fillId="0" borderId="40" xfId="0" applyFont="1" applyBorder="1" applyAlignment="1">
      <alignment horizontal="center" vertical="center" shrinkToFit="1"/>
    </xf>
    <xf numFmtId="0" fontId="17" fillId="0" borderId="35" xfId="0" applyFont="1" applyBorder="1" applyAlignment="1">
      <alignment horizontal="center" vertical="center" shrinkToFit="1"/>
    </xf>
    <xf numFmtId="0" fontId="17" fillId="0" borderId="16" xfId="0" applyFont="1" applyBorder="1" applyAlignment="1">
      <alignment horizontal="center" vertical="center" shrinkToFit="1"/>
    </xf>
    <xf numFmtId="177" fontId="17" fillId="0" borderId="40" xfId="0" applyNumberFormat="1" applyFont="1" applyBorder="1" applyAlignment="1">
      <alignment horizontal="center" vertical="center" shrinkToFit="1"/>
    </xf>
    <xf numFmtId="177" fontId="17" fillId="0" borderId="35" xfId="0" applyNumberFormat="1" applyFont="1" applyBorder="1" applyAlignment="1">
      <alignment horizontal="center" vertical="center" shrinkToFit="1"/>
    </xf>
    <xf numFmtId="0" fontId="19" fillId="3" borderId="36" xfId="5" applyFont="1" applyFill="1" applyBorder="1" applyAlignment="1" applyProtection="1">
      <alignment horizontal="center" vertical="center"/>
      <protection locked="0"/>
    </xf>
    <xf numFmtId="0" fontId="19" fillId="3" borderId="38" xfId="5" applyFont="1" applyFill="1" applyBorder="1" applyAlignment="1" applyProtection="1">
      <alignment horizontal="center" vertical="center"/>
      <protection locked="0"/>
    </xf>
    <xf numFmtId="0" fontId="19" fillId="12" borderId="38" xfId="5" applyFont="1" applyFill="1" applyBorder="1" applyAlignment="1" applyProtection="1">
      <alignment horizontal="center" vertical="center"/>
      <protection locked="0"/>
    </xf>
    <xf numFmtId="0" fontId="19" fillId="12" borderId="39" xfId="5" applyFont="1" applyFill="1" applyBorder="1" applyAlignment="1" applyProtection="1">
      <alignment horizontal="center" vertical="center"/>
      <protection locked="0"/>
    </xf>
    <xf numFmtId="0" fontId="16" fillId="4" borderId="77" xfId="5" applyFont="1" applyFill="1" applyBorder="1" applyAlignment="1">
      <alignment horizontal="center" vertical="center" shrinkToFit="1"/>
    </xf>
    <xf numFmtId="0" fontId="16" fillId="4" borderId="67" xfId="5" applyFont="1" applyFill="1" applyBorder="1" applyAlignment="1">
      <alignment horizontal="center" vertical="center" shrinkToFit="1"/>
    </xf>
    <xf numFmtId="0" fontId="16" fillId="4" borderId="47" xfId="5" applyFont="1" applyFill="1" applyBorder="1" applyAlignment="1">
      <alignment horizontal="center" vertical="center" shrinkToFit="1"/>
    </xf>
    <xf numFmtId="0" fontId="16" fillId="4" borderId="79" xfId="5" applyFont="1" applyFill="1" applyBorder="1" applyAlignment="1">
      <alignment horizontal="center" vertical="center" shrinkToFit="1"/>
    </xf>
    <xf numFmtId="179" fontId="17" fillId="0" borderId="94" xfId="2" applyNumberFormat="1" applyFont="1" applyBorder="1" applyAlignment="1">
      <alignment horizontal="center" vertical="center" shrinkToFit="1"/>
    </xf>
    <xf numFmtId="177" fontId="17" fillId="0" borderId="61" xfId="5" applyNumberFormat="1" applyFont="1" applyBorder="1" applyAlignment="1">
      <alignment horizontal="center" vertical="center" shrinkToFit="1"/>
    </xf>
    <xf numFmtId="179" fontId="17" fillId="0" borderId="40" xfId="2" applyNumberFormat="1" applyFont="1" applyBorder="1" applyAlignment="1">
      <alignment horizontal="center" vertical="center" shrinkToFit="1"/>
    </xf>
    <xf numFmtId="177" fontId="17" fillId="0" borderId="81" xfId="5" applyNumberFormat="1" applyFont="1" applyBorder="1" applyAlignment="1">
      <alignment horizontal="center" vertical="center" shrinkToFit="1"/>
    </xf>
    <xf numFmtId="179" fontId="17" fillId="0" borderId="54" xfId="2" applyNumberFormat="1" applyFont="1" applyBorder="1" applyAlignment="1">
      <alignment horizontal="center" vertical="center" shrinkToFit="1"/>
    </xf>
    <xf numFmtId="177" fontId="17" fillId="0" borderId="38" xfId="5" applyNumberFormat="1" applyFont="1" applyBorder="1" applyAlignment="1">
      <alignment horizontal="center" vertical="center" shrinkToFit="1"/>
    </xf>
    <xf numFmtId="179" fontId="17" fillId="0" borderId="35" xfId="2" applyNumberFormat="1" applyFont="1" applyBorder="1" applyAlignment="1">
      <alignment horizontal="center" vertical="center" shrinkToFit="1"/>
    </xf>
    <xf numFmtId="177" fontId="17" fillId="0" borderId="55" xfId="5" applyNumberFormat="1" applyFont="1" applyBorder="1" applyAlignment="1">
      <alignment horizontal="center" vertical="center" shrinkToFit="1"/>
    </xf>
    <xf numFmtId="0" fontId="17" fillId="0" borderId="1" xfId="5" applyFont="1" applyBorder="1" applyAlignment="1">
      <alignment horizontal="center" vertical="center"/>
    </xf>
    <xf numFmtId="0" fontId="17" fillId="2" borderId="11" xfId="5" applyFont="1" applyFill="1" applyBorder="1" applyAlignment="1">
      <alignment horizontal="center" vertical="center"/>
    </xf>
    <xf numFmtId="178" fontId="17" fillId="0" borderId="13" xfId="5" applyNumberFormat="1" applyFont="1" applyBorder="1" applyAlignment="1">
      <alignment horizontal="center" vertical="center"/>
    </xf>
    <xf numFmtId="0" fontId="17" fillId="2" borderId="17" xfId="5" applyFont="1" applyFill="1" applyBorder="1" applyAlignment="1">
      <alignment horizontal="center" vertical="center"/>
    </xf>
    <xf numFmtId="178" fontId="17" fillId="0" borderId="15" xfId="5" applyNumberFormat="1" applyFont="1" applyBorder="1" applyAlignment="1">
      <alignment horizontal="center" vertical="center"/>
    </xf>
    <xf numFmtId="0" fontId="17" fillId="2" borderId="20" xfId="5" applyFont="1" applyFill="1" applyBorder="1" applyAlignment="1">
      <alignment horizontal="center" vertical="center"/>
    </xf>
    <xf numFmtId="177" fontId="17" fillId="0" borderId="22" xfId="5" applyNumberFormat="1" applyFont="1" applyBorder="1" applyAlignment="1">
      <alignment horizontal="center" vertical="center"/>
    </xf>
    <xf numFmtId="178" fontId="17" fillId="0" borderId="22" xfId="5" applyNumberFormat="1" applyFont="1" applyBorder="1" applyAlignment="1">
      <alignment horizontal="center" vertical="center"/>
    </xf>
    <xf numFmtId="177" fontId="17" fillId="0" borderId="68" xfId="5" applyNumberFormat="1" applyFont="1" applyBorder="1" applyAlignment="1">
      <alignment horizontal="center" vertical="center" shrinkToFit="1"/>
    </xf>
    <xf numFmtId="179" fontId="17" fillId="0" borderId="65" xfId="5" applyNumberFormat="1" applyFont="1" applyBorder="1" applyAlignment="1">
      <alignment horizontal="center" vertical="center" shrinkToFit="1"/>
    </xf>
    <xf numFmtId="179" fontId="17" fillId="0" borderId="25" xfId="5" applyNumberFormat="1" applyFont="1" applyBorder="1" applyAlignment="1">
      <alignment horizontal="center" vertical="center" shrinkToFit="1"/>
    </xf>
    <xf numFmtId="177" fontId="17" fillId="0" borderId="36" xfId="5" applyNumberFormat="1" applyFont="1" applyBorder="1" applyAlignment="1">
      <alignment horizontal="center" vertical="center" shrinkToFit="1"/>
    </xf>
    <xf numFmtId="179" fontId="17" fillId="0" borderId="80" xfId="2" applyNumberFormat="1" applyFont="1" applyBorder="1" applyAlignment="1">
      <alignment horizontal="center" vertical="center" shrinkToFit="1"/>
    </xf>
    <xf numFmtId="177" fontId="17" fillId="0" borderId="86" xfId="5" applyNumberFormat="1" applyFont="1" applyBorder="1" applyAlignment="1">
      <alignment horizontal="center" vertical="center" shrinkToFit="1"/>
    </xf>
    <xf numFmtId="179" fontId="17" fillId="0" borderId="63" xfId="2" applyNumberFormat="1" applyFont="1" applyBorder="1" applyAlignment="1">
      <alignment horizontal="center" vertical="center" shrinkToFit="1"/>
    </xf>
    <xf numFmtId="177" fontId="17" fillId="0" borderId="89" xfId="5" applyNumberFormat="1" applyFont="1" applyBorder="1" applyAlignment="1">
      <alignment horizontal="center" vertical="center" shrinkToFit="1"/>
    </xf>
    <xf numFmtId="179" fontId="17" fillId="0" borderId="53" xfId="5" applyNumberFormat="1" applyFont="1" applyBorder="1" applyAlignment="1">
      <alignment horizontal="center" vertical="center" shrinkToFit="1"/>
    </xf>
    <xf numFmtId="177" fontId="17" fillId="0" borderId="27" xfId="5" applyNumberFormat="1" applyFont="1" applyBorder="1" applyAlignment="1">
      <alignment horizontal="center" vertical="center" shrinkToFit="1"/>
    </xf>
    <xf numFmtId="179" fontId="17" fillId="0" borderId="64" xfId="5" applyNumberFormat="1" applyFont="1" applyBorder="1" applyAlignment="1">
      <alignment horizontal="center" vertical="center" shrinkToFit="1"/>
    </xf>
    <xf numFmtId="177" fontId="17" fillId="0" borderId="66" xfId="5" applyNumberFormat="1" applyFont="1" applyBorder="1" applyAlignment="1">
      <alignment horizontal="center" vertical="center" shrinkToFit="1"/>
    </xf>
    <xf numFmtId="179" fontId="17" fillId="0" borderId="94" xfId="5" applyNumberFormat="1" applyFont="1" applyBorder="1" applyAlignment="1">
      <alignment horizontal="center" vertical="center" shrinkToFit="1"/>
    </xf>
    <xf numFmtId="179" fontId="17" fillId="0" borderId="82" xfId="5" applyNumberFormat="1" applyFont="1" applyBorder="1" applyAlignment="1">
      <alignment horizontal="center" vertical="center" shrinkToFit="1"/>
    </xf>
    <xf numFmtId="177" fontId="17" fillId="0" borderId="82" xfId="5" applyNumberFormat="1" applyFont="1" applyBorder="1" applyAlignment="1">
      <alignment horizontal="center" vertical="center" shrinkToFit="1"/>
    </xf>
    <xf numFmtId="179" fontId="17" fillId="0" borderId="40" xfId="5" applyNumberFormat="1" applyFont="1" applyBorder="1" applyAlignment="1">
      <alignment horizontal="center" vertical="center" shrinkToFit="1"/>
    </xf>
    <xf numFmtId="177" fontId="17" fillId="0" borderId="69" xfId="5" applyNumberFormat="1" applyFont="1" applyBorder="1" applyAlignment="1">
      <alignment horizontal="center" vertical="center"/>
    </xf>
    <xf numFmtId="177" fontId="17" fillId="0" borderId="19" xfId="5" applyNumberFormat="1" applyFont="1" applyBorder="1" applyAlignment="1">
      <alignment horizontal="center" vertical="center"/>
    </xf>
    <xf numFmtId="0" fontId="17" fillId="2" borderId="20" xfId="5" applyFont="1" applyFill="1" applyBorder="1" applyAlignment="1">
      <alignment horizontal="center" vertical="center" shrinkToFit="1"/>
    </xf>
    <xf numFmtId="178" fontId="5" fillId="0" borderId="12" xfId="0" applyNumberFormat="1" applyFont="1" applyBorder="1" applyAlignment="1">
      <alignment horizontal="center" vertical="center" wrapText="1" shrinkToFit="1"/>
    </xf>
    <xf numFmtId="176" fontId="5" fillId="0" borderId="3" xfId="0" applyNumberFormat="1" applyFont="1" applyBorder="1" applyAlignment="1">
      <alignment horizontal="center" vertical="center" wrapText="1" shrinkToFit="1"/>
    </xf>
    <xf numFmtId="176" fontId="5" fillId="0" borderId="12" xfId="0" applyNumberFormat="1" applyFont="1" applyBorder="1" applyAlignment="1">
      <alignment horizontal="center" vertical="center" wrapText="1" shrinkToFit="1"/>
    </xf>
    <xf numFmtId="38" fontId="5" fillId="3" borderId="1" xfId="2" applyFont="1" applyFill="1" applyBorder="1" applyAlignment="1" applyProtection="1">
      <alignment horizontal="center" vertical="center" shrinkToFit="1"/>
      <protection locked="0"/>
    </xf>
    <xf numFmtId="38" fontId="5" fillId="3" borderId="12" xfId="2" applyFont="1" applyFill="1" applyBorder="1" applyAlignment="1" applyProtection="1">
      <alignment horizontal="center" vertical="center" shrinkToFit="1"/>
      <protection locked="0"/>
    </xf>
    <xf numFmtId="0" fontId="5" fillId="0" borderId="33" xfId="0" applyFont="1" applyBorder="1" applyAlignment="1">
      <alignment horizontal="center" vertical="center" shrinkToFit="1"/>
    </xf>
    <xf numFmtId="0" fontId="5" fillId="2" borderId="76" xfId="0" applyFont="1" applyFill="1" applyBorder="1" applyAlignment="1">
      <alignment horizontal="centerContinuous" vertical="center" shrinkToFit="1"/>
    </xf>
    <xf numFmtId="0" fontId="5" fillId="2" borderId="0" xfId="0" applyFont="1" applyFill="1" applyAlignment="1">
      <alignment horizontal="centerContinuous" vertical="center" shrinkToFit="1"/>
    </xf>
    <xf numFmtId="0" fontId="5" fillId="2" borderId="83" xfId="0" applyFont="1" applyFill="1" applyBorder="1" applyAlignment="1">
      <alignment horizontal="centerContinuous" vertical="center" shrinkToFit="1"/>
    </xf>
    <xf numFmtId="0" fontId="5" fillId="2" borderId="54" xfId="0" applyFont="1" applyFill="1" applyBorder="1" applyAlignment="1">
      <alignment horizontal="centerContinuous" vertical="center" shrinkToFit="1"/>
    </xf>
    <xf numFmtId="0" fontId="5" fillId="2" borderId="37" xfId="0" applyFont="1" applyFill="1" applyBorder="1" applyAlignment="1">
      <alignment horizontal="centerContinuous" vertical="center" shrinkToFit="1"/>
    </xf>
    <xf numFmtId="0" fontId="5" fillId="2" borderId="38" xfId="0" applyFont="1" applyFill="1" applyBorder="1" applyAlignment="1">
      <alignment horizontal="centerContinuous" vertical="center" shrinkToFit="1"/>
    </xf>
    <xf numFmtId="0" fontId="5" fillId="2" borderId="56" xfId="0" applyFont="1" applyFill="1" applyBorder="1" applyAlignment="1">
      <alignment horizontal="centerContinuous" vertical="center" shrinkToFit="1"/>
    </xf>
    <xf numFmtId="0" fontId="5" fillId="2" borderId="28" xfId="0" applyFont="1" applyFill="1" applyBorder="1" applyAlignment="1">
      <alignment horizontal="centerContinuous" vertical="center" shrinkToFit="1"/>
    </xf>
    <xf numFmtId="0" fontId="5" fillId="2" borderId="39" xfId="0" applyFont="1" applyFill="1" applyBorder="1" applyAlignment="1">
      <alignment horizontal="centerContinuous" vertical="center" shrinkToFit="1"/>
    </xf>
    <xf numFmtId="178" fontId="5" fillId="0" borderId="61" xfId="0" applyNumberFormat="1" applyFont="1" applyBorder="1" applyAlignment="1">
      <alignment horizontal="center" vertical="center" wrapText="1" shrinkToFit="1"/>
    </xf>
    <xf numFmtId="178" fontId="5" fillId="0" borderId="39" xfId="0" applyNumberFormat="1" applyFont="1" applyBorder="1" applyAlignment="1">
      <alignment horizontal="center" vertical="center" wrapText="1" shrinkToFit="1"/>
    </xf>
    <xf numFmtId="176" fontId="5" fillId="0" borderId="73" xfId="0" applyNumberFormat="1" applyFont="1" applyBorder="1" applyAlignment="1">
      <alignment horizontal="center" vertical="center" shrinkToFit="1"/>
    </xf>
    <xf numFmtId="0" fontId="5" fillId="0" borderId="99" xfId="0" applyFont="1" applyBorder="1" applyAlignment="1">
      <alignment horizontal="center" vertical="center" shrinkToFit="1"/>
    </xf>
    <xf numFmtId="38" fontId="5" fillId="0" borderId="3" xfId="2" applyFont="1" applyFill="1" applyBorder="1" applyAlignment="1">
      <alignment vertical="center" shrinkToFit="1"/>
    </xf>
    <xf numFmtId="38" fontId="5" fillId="0" borderId="12" xfId="2" applyFont="1" applyFill="1" applyBorder="1" applyAlignment="1">
      <alignment vertical="center" shrinkToFit="1"/>
    </xf>
    <xf numFmtId="38" fontId="5" fillId="0" borderId="40" xfId="2" applyFont="1" applyFill="1" applyBorder="1" applyAlignment="1">
      <alignment vertical="center" shrinkToFit="1"/>
    </xf>
    <xf numFmtId="38" fontId="5" fillId="0" borderId="16" xfId="2" applyFont="1" applyFill="1" applyBorder="1" applyAlignment="1">
      <alignment vertical="center" shrinkToFit="1"/>
    </xf>
    <xf numFmtId="38" fontId="5" fillId="3" borderId="101" xfId="2" applyFont="1" applyFill="1" applyBorder="1" applyAlignment="1" applyProtection="1">
      <alignment horizontal="right" vertical="center" shrinkToFit="1"/>
      <protection locked="0"/>
    </xf>
    <xf numFmtId="38" fontId="5" fillId="3" borderId="100" xfId="2" applyFont="1" applyFill="1" applyBorder="1" applyAlignment="1" applyProtection="1">
      <alignment vertical="center" shrinkToFit="1"/>
      <protection locked="0"/>
    </xf>
    <xf numFmtId="38" fontId="5" fillId="3" borderId="100" xfId="0" applyNumberFormat="1" applyFont="1" applyFill="1" applyBorder="1" applyAlignment="1" applyProtection="1">
      <alignment horizontal="right" vertical="center" shrinkToFit="1"/>
      <protection locked="0"/>
    </xf>
    <xf numFmtId="0" fontId="5" fillId="0" borderId="0" xfId="0" applyFont="1" applyAlignment="1">
      <alignment vertical="center"/>
    </xf>
    <xf numFmtId="179" fontId="17" fillId="0" borderId="26" xfId="5" applyNumberFormat="1" applyFont="1" applyBorder="1" applyAlignment="1">
      <alignment horizontal="center" vertical="center" shrinkToFit="1"/>
    </xf>
    <xf numFmtId="177" fontId="17" fillId="0" borderId="63" xfId="0" applyNumberFormat="1" applyFont="1" applyBorder="1" applyAlignment="1">
      <alignment horizontal="center" vertical="center" shrinkToFit="1"/>
    </xf>
    <xf numFmtId="179" fontId="17" fillId="0" borderId="54" xfId="5" applyNumberFormat="1" applyFont="1" applyBorder="1" applyAlignment="1">
      <alignment horizontal="center" vertical="center" shrinkToFit="1"/>
    </xf>
    <xf numFmtId="179" fontId="17" fillId="0" borderId="37" xfId="5" applyNumberFormat="1" applyFont="1" applyBorder="1" applyAlignment="1">
      <alignment horizontal="center" vertical="center" shrinkToFit="1"/>
    </xf>
    <xf numFmtId="177" fontId="17" fillId="0" borderId="37" xfId="5" applyNumberFormat="1" applyFont="1" applyBorder="1" applyAlignment="1">
      <alignment horizontal="center" vertical="center" shrinkToFit="1"/>
    </xf>
    <xf numFmtId="179" fontId="17" fillId="0" borderId="35" xfId="5" applyNumberFormat="1" applyFont="1" applyBorder="1" applyAlignment="1">
      <alignment horizontal="center" vertical="center" shrinkToFit="1"/>
    </xf>
    <xf numFmtId="0" fontId="16" fillId="4" borderId="4" xfId="5" applyFont="1" applyFill="1" applyBorder="1" applyAlignment="1">
      <alignment horizontal="center" vertical="center" shrinkToFit="1"/>
    </xf>
    <xf numFmtId="0" fontId="16" fillId="4" borderId="49" xfId="5" applyFont="1" applyFill="1" applyBorder="1" applyAlignment="1">
      <alignment horizontal="center" vertical="center"/>
    </xf>
    <xf numFmtId="0" fontId="16" fillId="4" borderId="5" xfId="5" applyFont="1" applyFill="1" applyBorder="1" applyAlignment="1">
      <alignment horizontal="center" vertical="center"/>
    </xf>
    <xf numFmtId="181" fontId="6" fillId="0" borderId="5" xfId="0" applyNumberFormat="1" applyFont="1" applyBorder="1" applyAlignment="1">
      <alignment horizontal="center" vertical="center" shrinkToFit="1"/>
    </xf>
    <xf numFmtId="38" fontId="5" fillId="0" borderId="10" xfId="0" applyNumberFormat="1" applyFont="1" applyBorder="1" applyAlignment="1">
      <alignment horizontal="right" vertical="center" shrinkToFit="1"/>
    </xf>
    <xf numFmtId="38" fontId="5" fillId="0" borderId="3" xfId="2" applyFont="1" applyFill="1" applyBorder="1" applyAlignment="1" applyProtection="1">
      <alignment vertical="center" shrinkToFit="1"/>
    </xf>
    <xf numFmtId="38" fontId="5" fillId="0" borderId="12" xfId="2" applyFont="1" applyFill="1" applyBorder="1" applyAlignment="1" applyProtection="1">
      <alignment vertical="center" shrinkToFit="1"/>
    </xf>
    <xf numFmtId="38" fontId="5" fillId="0" borderId="12" xfId="2" applyFont="1" applyFill="1" applyBorder="1" applyAlignment="1" applyProtection="1">
      <alignment horizontal="right" vertical="center" shrinkToFit="1"/>
    </xf>
    <xf numFmtId="0" fontId="6" fillId="3" borderId="75" xfId="0" applyFont="1" applyFill="1" applyBorder="1" applyAlignment="1" applyProtection="1">
      <alignment horizontal="center" vertical="center" shrinkToFit="1"/>
      <protection locked="0"/>
    </xf>
    <xf numFmtId="5" fontId="5" fillId="0" borderId="34" xfId="0" applyNumberFormat="1" applyFont="1" applyBorder="1" applyAlignment="1">
      <alignment horizontal="right" vertical="center" shrinkToFit="1"/>
    </xf>
    <xf numFmtId="5" fontId="5" fillId="0" borderId="105" xfId="0" applyNumberFormat="1" applyFont="1" applyBorder="1" applyAlignment="1">
      <alignment horizontal="right" vertical="center" shrinkToFit="1"/>
    </xf>
    <xf numFmtId="0" fontId="5" fillId="2" borderId="106" xfId="0" applyFont="1" applyFill="1" applyBorder="1" applyAlignment="1">
      <alignment horizontal="center" vertical="center" shrinkToFit="1"/>
    </xf>
    <xf numFmtId="0" fontId="5" fillId="2" borderId="107" xfId="0" applyFont="1" applyFill="1" applyBorder="1" applyAlignment="1">
      <alignment horizontal="center" vertical="center" shrinkToFit="1"/>
    </xf>
    <xf numFmtId="0" fontId="5" fillId="2" borderId="75" xfId="0" applyFont="1" applyFill="1" applyBorder="1" applyAlignment="1">
      <alignment horizontal="center" vertical="center" shrinkToFit="1"/>
    </xf>
    <xf numFmtId="0" fontId="5" fillId="2" borderId="74" xfId="0" applyFont="1" applyFill="1" applyBorder="1" applyAlignment="1">
      <alignment horizontal="center" vertical="center" shrinkToFit="1"/>
    </xf>
    <xf numFmtId="5" fontId="5" fillId="0" borderId="88" xfId="0" applyNumberFormat="1" applyFont="1" applyBorder="1" applyAlignment="1">
      <alignment horizontal="right" vertical="center" shrinkToFit="1"/>
    </xf>
    <xf numFmtId="0" fontId="5" fillId="2" borderId="108" xfId="0" applyFont="1" applyFill="1" applyBorder="1" applyAlignment="1">
      <alignment horizontal="center" vertical="center" shrinkToFit="1"/>
    </xf>
    <xf numFmtId="182" fontId="21" fillId="0" borderId="104" xfId="0" applyNumberFormat="1" applyFont="1" applyBorder="1" applyAlignment="1">
      <alignment vertical="center" shrinkToFit="1"/>
    </xf>
    <xf numFmtId="182" fontId="21" fillId="0" borderId="66" xfId="0" applyNumberFormat="1" applyFont="1" applyBorder="1" applyAlignment="1">
      <alignment vertical="center" shrinkToFit="1"/>
    </xf>
    <xf numFmtId="182" fontId="6" fillId="0" borderId="102" xfId="0" applyNumberFormat="1" applyFont="1" applyBorder="1" applyAlignment="1">
      <alignment vertical="center" shrinkToFit="1"/>
    </xf>
    <xf numFmtId="182" fontId="6" fillId="0" borderId="64" xfId="0" applyNumberFormat="1" applyFont="1" applyBorder="1" applyAlignment="1">
      <alignment vertical="center" shrinkToFit="1"/>
    </xf>
    <xf numFmtId="38" fontId="5" fillId="3" borderId="15" xfId="2" applyFont="1" applyFill="1" applyBorder="1" applyAlignment="1" applyProtection="1">
      <alignment horizontal="center" vertical="center" shrinkToFit="1"/>
      <protection locked="0"/>
    </xf>
    <xf numFmtId="0" fontId="6" fillId="3" borderId="30" xfId="0" applyFont="1" applyFill="1" applyBorder="1" applyAlignment="1" applyProtection="1">
      <alignment horizontal="center" vertical="center" shrinkToFit="1"/>
      <protection locked="0"/>
    </xf>
    <xf numFmtId="38" fontId="5" fillId="2" borderId="51" xfId="2" applyFont="1" applyFill="1" applyBorder="1" applyAlignment="1">
      <alignment horizontal="center" vertical="center" shrinkToFit="1"/>
    </xf>
    <xf numFmtId="38" fontId="5" fillId="2" borderId="31" xfId="2" applyFont="1" applyFill="1" applyBorder="1" applyAlignment="1">
      <alignment horizontal="center" vertical="center" shrinkToFit="1"/>
    </xf>
    <xf numFmtId="38" fontId="5" fillId="3" borderId="3" xfId="2" applyFont="1" applyFill="1" applyBorder="1" applyAlignment="1" applyProtection="1">
      <alignment horizontal="center" vertical="center" shrinkToFit="1"/>
      <protection locked="0"/>
    </xf>
    <xf numFmtId="38" fontId="5" fillId="0" borderId="3" xfId="2" applyFont="1" applyBorder="1" applyAlignment="1">
      <alignment horizontal="right" vertical="center" shrinkToFit="1"/>
    </xf>
    <xf numFmtId="38" fontId="5" fillId="0" borderId="15" xfId="2" applyFont="1" applyBorder="1" applyAlignment="1">
      <alignment horizontal="right" vertical="center" shrinkToFit="1"/>
    </xf>
    <xf numFmtId="38" fontId="5" fillId="0" borderId="61" xfId="2" applyFont="1" applyFill="1" applyBorder="1" applyAlignment="1">
      <alignment horizontal="right" vertical="center" shrinkToFit="1"/>
    </xf>
    <xf numFmtId="38" fontId="5" fillId="0" borderId="39" xfId="2" applyFont="1" applyFill="1" applyBorder="1" applyAlignment="1">
      <alignment horizontal="right" vertical="center" shrinkToFit="1"/>
    </xf>
    <xf numFmtId="0" fontId="5" fillId="2" borderId="42" xfId="0" applyFont="1" applyFill="1" applyBorder="1" applyAlignment="1">
      <alignment horizontal="centerContinuous" vertical="center" shrinkToFit="1"/>
    </xf>
    <xf numFmtId="0" fontId="5" fillId="2" borderId="52" xfId="0" applyFont="1" applyFill="1" applyBorder="1" applyAlignment="1">
      <alignment horizontal="centerContinuous" vertical="center" shrinkToFit="1"/>
    </xf>
    <xf numFmtId="0" fontId="5" fillId="2" borderId="58" xfId="0" applyFont="1" applyFill="1" applyBorder="1" applyAlignment="1">
      <alignment horizontal="centerContinuous" vertical="center" shrinkToFit="1"/>
    </xf>
    <xf numFmtId="0" fontId="5" fillId="2" borderId="60" xfId="0" applyFont="1" applyFill="1" applyBorder="1" applyAlignment="1">
      <alignment horizontal="centerContinuous" vertical="center" shrinkToFit="1"/>
    </xf>
    <xf numFmtId="0" fontId="5" fillId="2" borderId="14" xfId="0" applyFont="1" applyFill="1" applyBorder="1" applyAlignment="1">
      <alignment horizontal="centerContinuous" vertical="center" shrinkToFit="1"/>
    </xf>
    <xf numFmtId="176" fontId="5" fillId="0" borderId="12" xfId="0" applyNumberFormat="1" applyFont="1" applyBorder="1" applyAlignment="1">
      <alignment horizontal="center" vertical="center" shrinkToFit="1"/>
    </xf>
    <xf numFmtId="38" fontId="5" fillId="0" borderId="88" xfId="2" applyFont="1" applyBorder="1" applyAlignment="1">
      <alignment horizontal="right" vertical="center" shrinkToFit="1"/>
    </xf>
    <xf numFmtId="38" fontId="5" fillId="0" borderId="37" xfId="2" applyFont="1" applyBorder="1" applyAlignment="1">
      <alignment vertical="center" shrinkToFit="1"/>
    </xf>
    <xf numFmtId="38" fontId="5" fillId="0" borderId="55" xfId="2" applyFont="1" applyBorder="1" applyAlignment="1">
      <alignment vertical="center" shrinkToFit="1"/>
    </xf>
    <xf numFmtId="38" fontId="5" fillId="0" borderId="85" xfId="2" applyFont="1" applyBorder="1" applyAlignment="1">
      <alignment vertical="center" shrinkToFit="1"/>
    </xf>
    <xf numFmtId="178" fontId="5" fillId="0" borderId="3" xfId="2" applyNumberFormat="1" applyFont="1" applyBorder="1" applyAlignment="1">
      <alignment horizontal="center" vertical="center" shrinkToFit="1"/>
    </xf>
    <xf numFmtId="178" fontId="5" fillId="0" borderId="12" xfId="2" applyNumberFormat="1" applyFont="1" applyBorder="1" applyAlignment="1">
      <alignment horizontal="center" vertical="center" shrinkToFit="1"/>
    </xf>
    <xf numFmtId="178" fontId="5" fillId="0" borderId="111" xfId="0" applyNumberFormat="1" applyFont="1" applyBorder="1" applyAlignment="1">
      <alignment horizontal="center" vertical="center" wrapText="1" shrinkToFit="1"/>
    </xf>
    <xf numFmtId="38" fontId="5" fillId="0" borderId="17" xfId="2" applyFont="1" applyFill="1" applyBorder="1" applyAlignment="1" applyProtection="1">
      <alignment horizontal="right" vertical="center" shrinkToFit="1"/>
    </xf>
    <xf numFmtId="38" fontId="5" fillId="0" borderId="11" xfId="2" applyFont="1" applyFill="1" applyBorder="1" applyAlignment="1" applyProtection="1">
      <alignment horizontal="right" vertical="center" shrinkToFit="1"/>
    </xf>
    <xf numFmtId="38" fontId="5" fillId="0" borderId="16" xfId="2" applyFont="1" applyFill="1" applyBorder="1" applyAlignment="1">
      <alignment horizontal="right" vertical="center" shrinkToFit="1"/>
    </xf>
    <xf numFmtId="0" fontId="5" fillId="0" borderId="113" xfId="0" applyFont="1" applyBorder="1" applyAlignment="1">
      <alignment horizontal="right" vertical="center" shrinkToFit="1"/>
    </xf>
    <xf numFmtId="0" fontId="5" fillId="0" borderId="16" xfId="0" applyFont="1" applyBorder="1" applyAlignment="1">
      <alignment horizontal="right" vertical="center" shrinkToFit="1"/>
    </xf>
    <xf numFmtId="38" fontId="5" fillId="0" borderId="113" xfId="0" applyNumberFormat="1" applyFont="1" applyBorder="1" applyAlignment="1">
      <alignment horizontal="right" vertical="center" shrinkToFit="1"/>
    </xf>
    <xf numFmtId="0" fontId="20" fillId="0" borderId="110" xfId="0" applyFont="1" applyBorder="1" applyAlignment="1">
      <alignment horizontal="left" vertical="center"/>
    </xf>
    <xf numFmtId="0" fontId="20" fillId="0" borderId="112" xfId="0" applyFont="1" applyBorder="1" applyAlignment="1">
      <alignment horizontal="left" vertical="center"/>
    </xf>
    <xf numFmtId="0" fontId="20" fillId="0" borderId="0" xfId="0" applyFont="1" applyAlignment="1">
      <alignment horizontal="left" vertical="center"/>
    </xf>
    <xf numFmtId="38" fontId="20" fillId="0" borderId="3" xfId="2" applyFont="1" applyFill="1" applyBorder="1" applyAlignment="1" applyProtection="1">
      <alignment horizontal="left" vertical="center"/>
    </xf>
    <xf numFmtId="38" fontId="20" fillId="0" borderId="12" xfId="2" applyFont="1" applyFill="1" applyBorder="1" applyAlignment="1" applyProtection="1">
      <alignment horizontal="left" vertical="center"/>
    </xf>
    <xf numFmtId="0" fontId="5" fillId="0" borderId="0" xfId="0" applyFont="1" applyAlignment="1">
      <alignment horizontal="left" vertical="center"/>
    </xf>
    <xf numFmtId="0" fontId="5" fillId="2" borderId="33" xfId="0" applyFont="1" applyFill="1" applyBorder="1" applyAlignment="1">
      <alignment horizontal="center" vertical="center" wrapText="1" shrinkToFit="1"/>
    </xf>
    <xf numFmtId="0" fontId="5" fillId="2" borderId="23" xfId="0" applyFont="1" applyFill="1" applyBorder="1" applyAlignment="1">
      <alignment horizontal="center" vertical="center" shrinkToFit="1"/>
    </xf>
    <xf numFmtId="0" fontId="5" fillId="2" borderId="23" xfId="0" applyFont="1" applyFill="1" applyBorder="1" applyAlignment="1">
      <alignment horizontal="center" vertical="center" shrinkToFit="1"/>
    </xf>
    <xf numFmtId="38" fontId="5" fillId="2" borderId="116" xfId="2" applyFont="1" applyFill="1" applyBorder="1" applyAlignment="1">
      <alignment horizontal="centerContinuous" vertical="center" shrinkToFit="1"/>
    </xf>
    <xf numFmtId="38" fontId="5" fillId="2" borderId="115" xfId="2" applyFont="1" applyFill="1" applyBorder="1" applyAlignment="1">
      <alignment horizontal="centerContinuous" vertical="center" shrinkToFit="1"/>
    </xf>
    <xf numFmtId="38" fontId="5" fillId="0" borderId="66" xfId="2" applyFont="1" applyBorder="1" applyAlignment="1">
      <alignment vertical="center" shrinkToFit="1"/>
    </xf>
    <xf numFmtId="38" fontId="5" fillId="0" borderId="82" xfId="2" applyFont="1" applyBorder="1" applyAlignment="1">
      <alignment vertical="center" shrinkToFit="1"/>
    </xf>
    <xf numFmtId="38" fontId="5" fillId="0" borderId="82" xfId="2" applyFont="1" applyBorder="1" applyAlignment="1">
      <alignment horizontal="right" vertical="center" shrinkToFit="1"/>
    </xf>
    <xf numFmtId="38" fontId="5" fillId="0" borderId="28" xfId="2" applyFont="1" applyBorder="1" applyAlignment="1">
      <alignment vertical="center" shrinkToFit="1"/>
    </xf>
    <xf numFmtId="38" fontId="5" fillId="0" borderId="28" xfId="2" applyFont="1" applyBorder="1" applyAlignment="1">
      <alignment horizontal="right" vertical="center" shrinkToFit="1"/>
    </xf>
    <xf numFmtId="0" fontId="5" fillId="2" borderId="103" xfId="0" applyFont="1" applyFill="1" applyBorder="1" applyAlignment="1">
      <alignment horizontal="centerContinuous" vertical="center" shrinkToFit="1"/>
    </xf>
    <xf numFmtId="0" fontId="5" fillId="2" borderId="104" xfId="0" applyFont="1" applyFill="1" applyBorder="1" applyAlignment="1">
      <alignment horizontal="centerContinuous" vertical="center" shrinkToFit="1"/>
    </xf>
    <xf numFmtId="38" fontId="5" fillId="2" borderId="89" xfId="2" applyFont="1" applyFill="1" applyBorder="1" applyAlignment="1">
      <alignment horizontal="centerContinuous" vertical="center" shrinkToFit="1"/>
    </xf>
    <xf numFmtId="38" fontId="5" fillId="0" borderId="117" xfId="2" applyFont="1" applyBorder="1" applyAlignment="1">
      <alignment vertical="center" shrinkToFit="1"/>
    </xf>
    <xf numFmtId="38" fontId="5" fillId="2" borderId="41" xfId="2" applyFont="1" applyFill="1" applyBorder="1" applyAlignment="1">
      <alignment horizontal="centerContinuous" vertical="center" shrinkToFit="1"/>
    </xf>
    <xf numFmtId="38" fontId="5" fillId="0" borderId="29" xfId="2" applyFont="1" applyBorder="1" applyAlignment="1">
      <alignment horizontal="right" vertical="center" shrinkToFit="1"/>
    </xf>
    <xf numFmtId="38" fontId="5" fillId="0" borderId="81" xfId="2" applyFont="1" applyBorder="1" applyAlignment="1">
      <alignment horizontal="right" vertical="center" shrinkToFit="1"/>
    </xf>
    <xf numFmtId="0" fontId="5" fillId="2" borderId="45" xfId="0" applyFont="1" applyFill="1" applyBorder="1" applyAlignment="1">
      <alignment horizontal="center" vertical="center" wrapText="1" shrinkToFit="1"/>
    </xf>
    <xf numFmtId="176" fontId="5" fillId="0" borderId="2" xfId="0" applyNumberFormat="1" applyFont="1" applyBorder="1" applyAlignment="1">
      <alignment horizontal="center" vertical="center" shrinkToFit="1"/>
    </xf>
    <xf numFmtId="178" fontId="5" fillId="0" borderId="2" xfId="2" applyNumberFormat="1" applyFont="1" applyBorder="1" applyAlignment="1">
      <alignment horizontal="center" vertical="center" shrinkToFit="1"/>
    </xf>
    <xf numFmtId="38" fontId="5" fillId="0" borderId="85" xfId="2" applyFont="1" applyBorder="1" applyAlignment="1">
      <alignment horizontal="right" vertical="center" shrinkToFit="1"/>
    </xf>
    <xf numFmtId="38" fontId="5" fillId="0" borderId="73" xfId="2" applyFont="1" applyBorder="1" applyAlignment="1">
      <alignment vertical="center" shrinkToFit="1"/>
    </xf>
    <xf numFmtId="0" fontId="5" fillId="2" borderId="57" xfId="0" applyFont="1" applyFill="1" applyBorder="1" applyAlignment="1">
      <alignment horizontal="centerContinuous" vertical="center" shrinkToFit="1"/>
    </xf>
    <xf numFmtId="0" fontId="5" fillId="2" borderId="95" xfId="0" applyFont="1" applyFill="1" applyBorder="1" applyAlignment="1">
      <alignment horizontal="centerContinuous" vertical="center" shrinkToFit="1"/>
    </xf>
    <xf numFmtId="38" fontId="5" fillId="0" borderId="32" xfId="2" applyFont="1" applyBorder="1" applyAlignment="1">
      <alignment horizontal="right" vertical="center" shrinkToFit="1"/>
    </xf>
    <xf numFmtId="38" fontId="5" fillId="0" borderId="114" xfId="2" applyFont="1" applyBorder="1" applyAlignment="1">
      <alignment horizontal="right" vertical="center" shrinkToFit="1"/>
    </xf>
    <xf numFmtId="5" fontId="5" fillId="0" borderId="0" xfId="0" applyNumberFormat="1" applyFont="1" applyAlignment="1">
      <alignment vertical="center" shrinkToFit="1"/>
    </xf>
    <xf numFmtId="38" fontId="5" fillId="0" borderId="113" xfId="2" applyFont="1" applyFill="1" applyBorder="1" applyAlignment="1">
      <alignment horizontal="right" vertical="center" shrinkToFit="1"/>
    </xf>
    <xf numFmtId="0" fontId="5" fillId="0" borderId="118" xfId="0" applyFont="1" applyBorder="1" applyAlignment="1">
      <alignment horizontal="center" vertical="center" shrinkToFit="1"/>
    </xf>
    <xf numFmtId="0" fontId="5" fillId="0" borderId="119" xfId="0" applyFont="1" applyBorder="1" applyAlignment="1">
      <alignment horizontal="center" vertical="center" shrinkToFit="1"/>
    </xf>
    <xf numFmtId="38" fontId="5" fillId="0" borderId="113" xfId="2" applyFont="1" applyFill="1" applyBorder="1" applyAlignment="1">
      <alignment vertical="center" shrinkToFit="1"/>
    </xf>
    <xf numFmtId="38" fontId="5" fillId="0" borderId="120" xfId="2" applyFont="1" applyBorder="1" applyAlignment="1">
      <alignment horizontal="right" vertical="center" shrinkToFit="1"/>
    </xf>
    <xf numFmtId="38" fontId="5" fillId="0" borderId="120" xfId="2" applyFont="1" applyFill="1" applyBorder="1" applyAlignment="1">
      <alignment vertical="center" shrinkToFit="1"/>
    </xf>
    <xf numFmtId="38" fontId="5" fillId="0" borderId="28" xfId="2" applyFont="1" applyFill="1" applyBorder="1" applyAlignment="1">
      <alignment vertical="center" shrinkToFit="1"/>
    </xf>
    <xf numFmtId="38" fontId="5" fillId="0" borderId="19" xfId="2" applyFont="1" applyFill="1" applyBorder="1" applyAlignment="1">
      <alignment vertical="center" shrinkToFit="1"/>
    </xf>
    <xf numFmtId="38" fontId="5" fillId="3" borderId="100" xfId="2" applyFont="1" applyFill="1" applyBorder="1" applyAlignment="1" applyProtection="1">
      <alignment horizontal="right" vertical="center" shrinkToFit="1"/>
      <protection locked="0"/>
    </xf>
    <xf numFmtId="38" fontId="5" fillId="0" borderId="69" xfId="2" applyFont="1" applyFill="1" applyBorder="1" applyAlignment="1">
      <alignment vertical="center" shrinkToFit="1"/>
    </xf>
    <xf numFmtId="0" fontId="5" fillId="0" borderId="0" xfId="0" applyFont="1" applyBorder="1" applyAlignment="1">
      <alignment vertical="center" shrinkToFit="1"/>
    </xf>
    <xf numFmtId="0" fontId="6" fillId="0" borderId="0" xfId="0" applyFont="1" applyBorder="1" applyAlignment="1">
      <alignment vertical="center" shrinkToFit="1"/>
    </xf>
    <xf numFmtId="180" fontId="5" fillId="0" borderId="38" xfId="0" applyNumberFormat="1" applyFont="1" applyBorder="1" applyAlignment="1">
      <alignment horizontal="center" vertical="center" shrinkToFit="1"/>
    </xf>
    <xf numFmtId="180" fontId="5" fillId="0" borderId="61" xfId="0" applyNumberFormat="1" applyFont="1" applyBorder="1" applyAlignment="1">
      <alignment horizontal="center" vertical="center" shrinkToFit="1"/>
    </xf>
    <xf numFmtId="38" fontId="5" fillId="0" borderId="61" xfId="2" applyFont="1" applyBorder="1" applyAlignment="1">
      <alignment horizontal="center" vertical="center" shrinkToFit="1"/>
    </xf>
    <xf numFmtId="0" fontId="5" fillId="0" borderId="0" xfId="0" applyFont="1" applyFill="1" applyBorder="1" applyAlignment="1">
      <alignment vertical="center" shrinkToFit="1"/>
    </xf>
    <xf numFmtId="177" fontId="5" fillId="0" borderId="0" xfId="0" applyNumberFormat="1" applyFont="1" applyFill="1" applyBorder="1" applyAlignment="1">
      <alignment vertical="center" shrinkToFit="1"/>
    </xf>
    <xf numFmtId="38" fontId="5" fillId="0" borderId="1" xfId="2" applyFont="1" applyBorder="1" applyAlignment="1" applyProtection="1">
      <alignment horizontal="right" vertical="center" shrinkToFit="1"/>
      <protection locked="0"/>
    </xf>
    <xf numFmtId="38" fontId="5" fillId="0" borderId="1" xfId="2" applyFont="1" applyBorder="1" applyAlignment="1">
      <alignment horizontal="right" vertical="center" shrinkToFit="1"/>
    </xf>
    <xf numFmtId="38" fontId="5" fillId="0" borderId="10" xfId="2" applyFont="1" applyBorder="1" applyAlignment="1" applyProtection="1">
      <alignment horizontal="right" vertical="center" shrinkToFit="1"/>
      <protection locked="0"/>
    </xf>
    <xf numFmtId="38" fontId="5" fillId="0" borderId="38" xfId="2" applyFont="1" applyBorder="1" applyAlignment="1">
      <alignment horizontal="right" vertical="center" shrinkToFit="1"/>
    </xf>
    <xf numFmtId="0" fontId="22" fillId="0" borderId="0" xfId="0" applyFont="1" applyAlignment="1">
      <alignment vertical="center"/>
    </xf>
    <xf numFmtId="0" fontId="22" fillId="0" borderId="123" xfId="0" applyFont="1" applyBorder="1" applyAlignment="1">
      <alignment horizontal="left" vertical="center"/>
    </xf>
    <xf numFmtId="0" fontId="22" fillId="0" borderId="124" xfId="0" applyFont="1" applyBorder="1" applyAlignment="1">
      <alignment horizontal="left" vertical="center"/>
    </xf>
    <xf numFmtId="0" fontId="22" fillId="0" borderId="125" xfId="0" applyFont="1" applyBorder="1" applyAlignment="1">
      <alignment horizontal="left" vertical="center"/>
    </xf>
    <xf numFmtId="0" fontId="22" fillId="0" borderId="126" xfId="0" applyFont="1" applyBorder="1" applyAlignment="1">
      <alignment vertical="center"/>
    </xf>
    <xf numFmtId="0" fontId="22" fillId="0" borderId="132" xfId="0" applyFont="1" applyBorder="1" applyAlignment="1">
      <alignment vertical="center"/>
    </xf>
    <xf numFmtId="0" fontId="22" fillId="0" borderId="86" xfId="0" applyFont="1" applyBorder="1" applyAlignment="1">
      <alignment horizontal="center" vertical="center"/>
    </xf>
    <xf numFmtId="0" fontId="22" fillId="0" borderId="68" xfId="0" applyFont="1" applyBorder="1" applyAlignment="1">
      <alignment horizontal="center" vertical="center"/>
    </xf>
    <xf numFmtId="0" fontId="25" fillId="0" borderId="0" xfId="0" applyFont="1" applyAlignment="1">
      <alignment vertical="center"/>
    </xf>
    <xf numFmtId="0" fontId="23" fillId="4" borderId="39" xfId="0" applyFont="1" applyFill="1" applyBorder="1" applyAlignment="1">
      <alignment horizontal="center" vertical="center"/>
    </xf>
    <xf numFmtId="0" fontId="23" fillId="4" borderId="12" xfId="0" applyFont="1" applyFill="1" applyBorder="1" applyAlignment="1">
      <alignment horizontal="center" vertical="center"/>
    </xf>
    <xf numFmtId="0" fontId="22" fillId="13" borderId="14" xfId="0" applyFont="1" applyFill="1" applyBorder="1" applyAlignment="1">
      <alignment horizontal="left" vertical="center"/>
    </xf>
    <xf numFmtId="0" fontId="22" fillId="13" borderId="19" xfId="0" applyFont="1" applyFill="1" applyBorder="1" applyAlignment="1">
      <alignment vertical="center"/>
    </xf>
    <xf numFmtId="0" fontId="22" fillId="0" borderId="132" xfId="0" applyFont="1" applyBorder="1" applyAlignment="1">
      <alignment vertical="center" wrapText="1"/>
    </xf>
    <xf numFmtId="0" fontId="22" fillId="0" borderId="133" xfId="0" applyFont="1" applyBorder="1" applyAlignment="1">
      <alignment vertical="center" wrapText="1"/>
    </xf>
    <xf numFmtId="0" fontId="5" fillId="0" borderId="0" xfId="0" applyFont="1" applyAlignment="1">
      <alignment horizontal="right" vertical="center"/>
    </xf>
    <xf numFmtId="0" fontId="5" fillId="0" borderId="0" xfId="0" applyFont="1" applyFill="1" applyBorder="1" applyAlignment="1">
      <alignment horizontal="center" vertical="center" shrinkToFit="1"/>
    </xf>
    <xf numFmtId="0" fontId="5" fillId="3" borderId="9" xfId="0" applyFont="1" applyFill="1" applyBorder="1" applyAlignment="1" applyProtection="1">
      <alignment horizontal="center" vertical="center" shrinkToFit="1"/>
      <protection locked="0"/>
    </xf>
    <xf numFmtId="0" fontId="5" fillId="3" borderId="17" xfId="0" applyFont="1" applyFill="1" applyBorder="1" applyAlignment="1" applyProtection="1">
      <alignment horizontal="center" vertical="center" shrinkToFit="1"/>
      <protection locked="0"/>
    </xf>
    <xf numFmtId="0" fontId="5" fillId="0" borderId="9" xfId="0" applyFont="1" applyBorder="1" applyAlignment="1">
      <alignment horizontal="center" vertical="center" shrinkToFit="1"/>
    </xf>
    <xf numFmtId="0" fontId="5" fillId="0" borderId="17" xfId="0" applyFont="1" applyBorder="1" applyAlignment="1">
      <alignment horizontal="center" vertical="center" shrinkToFit="1"/>
    </xf>
    <xf numFmtId="0" fontId="8" fillId="0" borderId="0" xfId="0" applyFont="1" applyAlignment="1">
      <alignment horizontal="center" vertical="center" shrinkToFit="1"/>
    </xf>
    <xf numFmtId="0" fontId="5" fillId="0" borderId="33" xfId="0" applyFont="1" applyBorder="1" applyAlignment="1">
      <alignment horizontal="center" vertical="center" shrinkToFit="1"/>
    </xf>
    <xf numFmtId="0" fontId="5" fillId="2" borderId="23" xfId="0" applyFont="1" applyFill="1" applyBorder="1" applyAlignment="1">
      <alignment horizontal="center" vertical="center" shrinkToFit="1"/>
    </xf>
    <xf numFmtId="0" fontId="7" fillId="2" borderId="51" xfId="0" applyFont="1" applyFill="1" applyBorder="1" applyAlignment="1">
      <alignment horizontal="center" vertical="center" shrinkToFit="1"/>
    </xf>
    <xf numFmtId="0" fontId="5" fillId="0" borderId="85" xfId="0" applyFont="1" applyBorder="1" applyAlignment="1">
      <alignment horizontal="center" vertical="center" shrinkToFit="1"/>
    </xf>
    <xf numFmtId="38" fontId="5" fillId="0" borderId="3" xfId="2" applyFont="1" applyBorder="1" applyAlignment="1" applyProtection="1">
      <alignment horizontal="right" vertical="center" shrinkToFit="1"/>
      <protection locked="0"/>
    </xf>
    <xf numFmtId="38" fontId="5" fillId="0" borderId="15" xfId="2" applyFont="1" applyBorder="1" applyAlignment="1" applyProtection="1">
      <alignment horizontal="right" vertical="center" shrinkToFit="1"/>
      <protection locked="0"/>
    </xf>
    <xf numFmtId="0" fontId="5" fillId="2" borderId="41" xfId="0" applyFont="1" applyFill="1" applyBorder="1" applyAlignment="1">
      <alignment horizontal="center" vertical="center" shrinkToFit="1"/>
    </xf>
    <xf numFmtId="176" fontId="5" fillId="0" borderId="113" xfId="0" applyNumberFormat="1" applyFont="1" applyBorder="1" applyAlignment="1">
      <alignment horizontal="center" vertical="center" shrinkToFit="1"/>
    </xf>
    <xf numFmtId="176" fontId="5" fillId="0" borderId="16" xfId="0" applyNumberFormat="1" applyFont="1" applyBorder="1" applyAlignment="1">
      <alignment horizontal="center" vertical="center" shrinkToFit="1"/>
    </xf>
    <xf numFmtId="0" fontId="5" fillId="0" borderId="9" xfId="0" applyFont="1" applyBorder="1" applyAlignment="1">
      <alignment horizontal="center" vertical="center" shrinkToFit="1"/>
    </xf>
    <xf numFmtId="0" fontId="5" fillId="0" borderId="98" xfId="0" applyFont="1" applyBorder="1" applyAlignment="1">
      <alignment horizontal="center" vertical="center" shrinkToFit="1"/>
    </xf>
    <xf numFmtId="38" fontId="5" fillId="14" borderId="109" xfId="2" applyFont="1" applyFill="1" applyBorder="1" applyAlignment="1">
      <alignment horizontal="center" vertical="center" shrinkToFit="1"/>
    </xf>
    <xf numFmtId="38" fontId="5" fillId="14" borderId="18" xfId="2" applyFont="1" applyFill="1" applyBorder="1" applyAlignment="1">
      <alignment horizontal="center" vertical="center" shrinkToFit="1"/>
    </xf>
    <xf numFmtId="0" fontId="5" fillId="0" borderId="9" xfId="0" applyFont="1" applyBorder="1" applyAlignment="1">
      <alignment horizontal="center" vertical="center" shrinkToFit="1"/>
    </xf>
    <xf numFmtId="0" fontId="5" fillId="2" borderId="23" xfId="0" applyFont="1" applyFill="1" applyBorder="1" applyAlignment="1">
      <alignment horizontal="center" vertical="center" shrinkToFit="1"/>
    </xf>
    <xf numFmtId="38" fontId="5" fillId="0" borderId="32" xfId="2" applyFont="1" applyBorder="1" applyAlignment="1">
      <alignment horizontal="right" vertical="center" shrinkToFit="1"/>
    </xf>
    <xf numFmtId="38" fontId="5" fillId="0" borderId="114" xfId="2" applyFont="1" applyBorder="1" applyAlignment="1">
      <alignment horizontal="right" vertical="center" shrinkToFit="1"/>
    </xf>
    <xf numFmtId="0" fontId="5" fillId="0" borderId="98" xfId="0" applyFont="1" applyBorder="1" applyAlignment="1">
      <alignment horizontal="center" vertical="center" shrinkToFit="1"/>
    </xf>
    <xf numFmtId="0" fontId="5" fillId="2" borderId="0" xfId="0" applyFont="1" applyFill="1" applyBorder="1" applyAlignment="1">
      <alignment horizontal="centerContinuous" vertical="center" shrinkToFit="1"/>
    </xf>
    <xf numFmtId="38" fontId="5" fillId="0" borderId="15" xfId="2" applyFont="1" applyFill="1" applyBorder="1" applyAlignment="1">
      <alignment horizontal="right" vertical="center" shrinkToFit="1"/>
    </xf>
    <xf numFmtId="5" fontId="5" fillId="0" borderId="135" xfId="0" applyNumberFormat="1" applyFont="1" applyBorder="1" applyAlignment="1">
      <alignment horizontal="right" vertical="center" shrinkToFit="1"/>
    </xf>
    <xf numFmtId="5" fontId="5" fillId="0" borderId="33" xfId="0" applyNumberFormat="1" applyFont="1" applyBorder="1" applyAlignment="1">
      <alignment horizontal="right" vertical="center" shrinkToFit="1"/>
    </xf>
    <xf numFmtId="5" fontId="5" fillId="0" borderId="136" xfId="0" applyNumberFormat="1" applyFont="1" applyBorder="1" applyAlignment="1">
      <alignment horizontal="right" vertical="center" shrinkToFit="1"/>
    </xf>
    <xf numFmtId="38" fontId="17" fillId="0" borderId="1" xfId="2" applyFont="1" applyBorder="1" applyAlignment="1">
      <alignment horizontal="center" vertical="center"/>
    </xf>
    <xf numFmtId="0" fontId="5" fillId="2" borderId="46" xfId="0" applyFont="1" applyFill="1" applyBorder="1" applyAlignment="1">
      <alignment horizontal="center" vertical="center" shrinkToFit="1"/>
    </xf>
    <xf numFmtId="38" fontId="5" fillId="3" borderId="48" xfId="2" applyFont="1" applyFill="1" applyBorder="1" applyAlignment="1" applyProtection="1">
      <alignment horizontal="right" vertical="center" shrinkToFit="1"/>
      <protection locked="0"/>
    </xf>
    <xf numFmtId="38" fontId="5" fillId="3" borderId="5" xfId="2" applyFont="1" applyFill="1" applyBorder="1" applyAlignment="1" applyProtection="1">
      <alignment horizontal="right" vertical="center" shrinkToFit="1"/>
      <protection locked="0"/>
    </xf>
    <xf numFmtId="0" fontId="5" fillId="2" borderId="48" xfId="0" applyFont="1" applyFill="1" applyBorder="1" applyAlignment="1">
      <alignment horizontal="center" vertical="center" shrinkToFit="1"/>
    </xf>
    <xf numFmtId="5" fontId="5" fillId="0" borderId="15" xfId="0" applyNumberFormat="1" applyFont="1" applyBorder="1" applyAlignment="1">
      <alignment horizontal="right" vertical="center" shrinkToFit="1"/>
    </xf>
    <xf numFmtId="0" fontId="6" fillId="0" borderId="5" xfId="0" applyFont="1" applyFill="1" applyBorder="1" applyAlignment="1" applyProtection="1">
      <alignment horizontal="center" vertical="center" shrinkToFit="1"/>
    </xf>
    <xf numFmtId="0" fontId="22" fillId="0" borderId="2" xfId="0" applyFont="1" applyBorder="1" applyAlignment="1">
      <alignment horizontal="center" vertical="center"/>
    </xf>
    <xf numFmtId="0" fontId="22" fillId="0" borderId="131" xfId="0" applyFont="1" applyBorder="1" applyAlignment="1">
      <alignment horizontal="center" vertical="center"/>
    </xf>
    <xf numFmtId="0" fontId="22" fillId="4" borderId="42" xfId="0" applyFont="1" applyFill="1" applyBorder="1" applyAlignment="1">
      <alignment horizontal="center" vertical="center" textRotation="255"/>
    </xf>
    <xf numFmtId="0" fontId="22" fillId="4" borderId="43" xfId="0" applyFont="1" applyFill="1" applyBorder="1" applyAlignment="1">
      <alignment horizontal="center" vertical="center" textRotation="255"/>
    </xf>
    <xf numFmtId="0" fontId="22" fillId="4" borderId="34" xfId="0" applyFont="1" applyFill="1" applyBorder="1" applyAlignment="1">
      <alignment horizontal="center" vertical="center"/>
    </xf>
    <xf numFmtId="0" fontId="22" fillId="4" borderId="88" xfId="0" applyFont="1" applyFill="1" applyBorder="1" applyAlignment="1">
      <alignment horizontal="center" vertical="center"/>
    </xf>
    <xf numFmtId="0" fontId="22" fillId="0" borderId="33" xfId="0" applyFont="1" applyBorder="1" applyAlignment="1">
      <alignment horizontal="center" vertical="center"/>
    </xf>
    <xf numFmtId="0" fontId="22" fillId="0" borderId="43" xfId="0" applyFont="1" applyBorder="1" applyAlignment="1">
      <alignment horizontal="center" vertical="center"/>
    </xf>
    <xf numFmtId="0" fontId="22" fillId="0" borderId="84" xfId="0" applyFont="1" applyBorder="1" applyAlignment="1">
      <alignment horizontal="center" vertical="center"/>
    </xf>
    <xf numFmtId="0" fontId="22" fillId="0" borderId="1" xfId="0" applyFont="1" applyBorder="1" applyAlignment="1">
      <alignment horizontal="center" vertical="center"/>
    </xf>
    <xf numFmtId="0" fontId="22" fillId="0" borderId="7" xfId="0" applyFont="1" applyBorder="1" applyAlignment="1">
      <alignment horizontal="center" vertical="center"/>
    </xf>
    <xf numFmtId="0" fontId="23" fillId="4" borderId="127" xfId="0" applyFont="1" applyFill="1" applyBorder="1" applyAlignment="1">
      <alignment horizontal="center" vertical="center"/>
    </xf>
    <xf numFmtId="0" fontId="23" fillId="4" borderId="129" xfId="0" applyFont="1" applyFill="1" applyBorder="1" applyAlignment="1">
      <alignment horizontal="center" vertical="center"/>
    </xf>
    <xf numFmtId="0" fontId="23" fillId="4" borderId="128" xfId="0" applyFont="1" applyFill="1" applyBorder="1" applyAlignment="1">
      <alignment horizontal="center" vertical="center"/>
    </xf>
    <xf numFmtId="0" fontId="23" fillId="4" borderId="130" xfId="0" applyFont="1" applyFill="1" applyBorder="1" applyAlignment="1">
      <alignment horizontal="center" vertical="center"/>
    </xf>
    <xf numFmtId="0" fontId="22" fillId="13" borderId="6" xfId="0" applyFont="1" applyFill="1" applyBorder="1" applyAlignment="1">
      <alignment horizontal="center" vertical="center" wrapText="1"/>
    </xf>
    <xf numFmtId="0" fontId="22" fillId="13" borderId="8" xfId="0" applyFont="1" applyFill="1" applyBorder="1" applyAlignment="1">
      <alignment horizontal="center" vertical="center" wrapText="1"/>
    </xf>
    <xf numFmtId="0" fontId="22" fillId="13" borderId="11" xfId="0" applyFont="1" applyFill="1" applyBorder="1" applyAlignment="1">
      <alignment horizontal="center" vertical="center" wrapText="1"/>
    </xf>
    <xf numFmtId="0" fontId="22" fillId="13" borderId="13" xfId="0" applyFont="1" applyFill="1" applyBorder="1" applyAlignment="1">
      <alignment horizontal="center" vertical="center" wrapText="1"/>
    </xf>
    <xf numFmtId="0" fontId="22" fillId="13" borderId="6" xfId="0" applyFont="1" applyFill="1" applyBorder="1" applyAlignment="1">
      <alignment horizontal="center" vertical="center"/>
    </xf>
    <xf numFmtId="0" fontId="22" fillId="13" borderId="8" xfId="0" applyFont="1" applyFill="1" applyBorder="1" applyAlignment="1">
      <alignment horizontal="center" vertical="center"/>
    </xf>
    <xf numFmtId="0" fontId="22" fillId="13" borderId="11" xfId="0" applyFont="1" applyFill="1" applyBorder="1" applyAlignment="1">
      <alignment horizontal="center" vertical="center"/>
    </xf>
    <xf numFmtId="0" fontId="22" fillId="13" borderId="13" xfId="0" applyFont="1" applyFill="1" applyBorder="1" applyAlignment="1">
      <alignment horizontal="center" vertical="center"/>
    </xf>
    <xf numFmtId="0" fontId="22" fillId="4" borderId="9" xfId="0" applyFont="1" applyFill="1" applyBorder="1" applyAlignment="1">
      <alignment horizontal="center" vertical="center"/>
    </xf>
    <xf numFmtId="0" fontId="22" fillId="4" borderId="10" xfId="0" applyFont="1" applyFill="1" applyBorder="1" applyAlignment="1">
      <alignment horizontal="center" vertical="center"/>
    </xf>
    <xf numFmtId="0" fontId="22" fillId="4" borderId="11" xfId="0" applyFont="1" applyFill="1" applyBorder="1" applyAlignment="1">
      <alignment horizontal="center" vertical="center"/>
    </xf>
    <xf numFmtId="0" fontId="22" fillId="4" borderId="13" xfId="0" applyFont="1" applyFill="1" applyBorder="1" applyAlignment="1">
      <alignment horizontal="center" vertical="center"/>
    </xf>
    <xf numFmtId="0" fontId="22" fillId="13" borderId="26" xfId="0" applyFont="1" applyFill="1" applyBorder="1" applyAlignment="1">
      <alignment horizontal="center" vertical="center"/>
    </xf>
    <xf numFmtId="0" fontId="22" fillId="13" borderId="28" xfId="0" applyFont="1" applyFill="1" applyBorder="1" applyAlignment="1">
      <alignment horizontal="center" vertical="center"/>
    </xf>
    <xf numFmtId="0" fontId="22" fillId="4" borderId="8" xfId="0" applyFont="1" applyFill="1" applyBorder="1" applyAlignment="1">
      <alignment horizontal="center" vertical="center"/>
    </xf>
    <xf numFmtId="3" fontId="22" fillId="13" borderId="36" xfId="0" applyNumberFormat="1" applyFont="1" applyFill="1" applyBorder="1" applyAlignment="1">
      <alignment horizontal="center" vertical="center"/>
    </xf>
    <xf numFmtId="0" fontId="22" fillId="13" borderId="39" xfId="0" applyFont="1" applyFill="1" applyBorder="1" applyAlignment="1">
      <alignment horizontal="center" vertical="center"/>
    </xf>
    <xf numFmtId="0" fontId="23" fillId="4" borderId="8" xfId="0" applyFont="1" applyFill="1" applyBorder="1" applyAlignment="1">
      <alignment horizontal="center" vertical="center"/>
    </xf>
    <xf numFmtId="0" fontId="23" fillId="4" borderId="13" xfId="0" applyFont="1" applyFill="1" applyBorder="1" applyAlignment="1">
      <alignment horizontal="center" vertical="center"/>
    </xf>
    <xf numFmtId="0" fontId="22" fillId="0" borderId="38" xfId="0" applyFont="1" applyBorder="1" applyAlignment="1">
      <alignment horizontal="center" vertical="center"/>
    </xf>
    <xf numFmtId="0" fontId="22" fillId="0" borderId="36" xfId="0" applyFont="1" applyBorder="1" applyAlignment="1">
      <alignment horizontal="center" vertical="center"/>
    </xf>
    <xf numFmtId="0" fontId="23" fillId="4" borderId="36" xfId="0" applyFont="1" applyFill="1" applyBorder="1" applyAlignment="1">
      <alignment horizontal="center" vertical="center"/>
    </xf>
    <xf numFmtId="0" fontId="23" fillId="4" borderId="7" xfId="0" applyFont="1" applyFill="1" applyBorder="1" applyAlignment="1">
      <alignment horizontal="center" vertical="center"/>
    </xf>
    <xf numFmtId="38" fontId="5" fillId="0" borderId="16" xfId="2" applyFont="1" applyBorder="1" applyAlignment="1">
      <alignment horizontal="right" vertical="center" shrinkToFit="1"/>
    </xf>
    <xf numFmtId="38" fontId="5" fillId="0" borderId="39" xfId="2" applyFont="1" applyBorder="1" applyAlignment="1">
      <alignment horizontal="right" vertical="center" shrinkToFit="1"/>
    </xf>
    <xf numFmtId="38" fontId="5" fillId="0" borderId="32" xfId="2" applyFont="1" applyBorder="1" applyAlignment="1">
      <alignment horizontal="right" vertical="center" shrinkToFit="1"/>
    </xf>
    <xf numFmtId="38" fontId="5" fillId="0" borderId="114" xfId="2" applyFont="1" applyBorder="1" applyAlignment="1">
      <alignment horizontal="right" vertical="center" shrinkToFit="1"/>
    </xf>
    <xf numFmtId="0" fontId="5" fillId="2" borderId="41" xfId="0" applyFont="1" applyFill="1" applyBorder="1" applyAlignment="1">
      <alignment horizontal="center" vertical="center" shrinkToFit="1"/>
    </xf>
    <xf numFmtId="0" fontId="5" fillId="2" borderId="121" xfId="0" applyFont="1" applyFill="1" applyBorder="1" applyAlignment="1">
      <alignment horizontal="center" vertical="center" shrinkToFit="1"/>
    </xf>
    <xf numFmtId="38" fontId="5" fillId="0" borderId="113" xfId="2" applyFont="1" applyBorder="1" applyAlignment="1">
      <alignment horizontal="right" vertical="center" shrinkToFit="1"/>
    </xf>
    <xf numFmtId="38" fontId="5" fillId="0" borderId="134" xfId="2" applyFont="1" applyBorder="1" applyAlignment="1">
      <alignment horizontal="right" vertical="center" shrinkToFit="1"/>
    </xf>
    <xf numFmtId="0" fontId="5" fillId="2" borderId="52" xfId="0" applyFont="1" applyFill="1" applyBorder="1" applyAlignment="1">
      <alignment horizontal="center" vertical="center" shrinkToFit="1"/>
    </xf>
    <xf numFmtId="0" fontId="5" fillId="2" borderId="50" xfId="0" applyFont="1" applyFill="1" applyBorder="1" applyAlignment="1">
      <alignment horizontal="center" vertical="center" shrinkToFit="1"/>
    </xf>
    <xf numFmtId="0" fontId="5" fillId="2" borderId="52" xfId="0" applyFont="1" applyFill="1" applyBorder="1" applyAlignment="1">
      <alignment horizontal="center" vertical="center" wrapText="1" shrinkToFit="1"/>
    </xf>
    <xf numFmtId="0" fontId="5" fillId="2" borderId="50" xfId="0" applyFont="1" applyFill="1" applyBorder="1" applyAlignment="1">
      <alignment horizontal="center" vertical="center" wrapText="1" shrinkToFit="1"/>
    </xf>
    <xf numFmtId="0" fontId="5" fillId="2" borderId="7" xfId="0" applyFont="1" applyFill="1" applyBorder="1" applyAlignment="1">
      <alignment horizontal="center" vertical="center" wrapText="1" shrinkToFit="1"/>
    </xf>
    <xf numFmtId="0" fontId="5" fillId="2" borderId="23" xfId="0" applyFont="1" applyFill="1" applyBorder="1" applyAlignment="1">
      <alignment horizontal="center" vertical="center" shrinkToFit="1"/>
    </xf>
    <xf numFmtId="0" fontId="22" fillId="2" borderId="25" xfId="0" applyFont="1" applyFill="1" applyBorder="1" applyAlignment="1">
      <alignment horizontal="center" vertical="center" wrapText="1" shrinkToFit="1"/>
    </xf>
    <xf numFmtId="0" fontId="22" fillId="2" borderId="41" xfId="0" applyFont="1" applyFill="1" applyBorder="1" applyAlignment="1">
      <alignment horizontal="center" vertical="center" wrapText="1" shrinkToFit="1"/>
    </xf>
    <xf numFmtId="0" fontId="5" fillId="2" borderId="14" xfId="0" applyFont="1" applyFill="1" applyBorder="1" applyAlignment="1">
      <alignment horizontal="center" vertical="center" wrapText="1" shrinkToFit="1"/>
    </xf>
    <xf numFmtId="0" fontId="5" fillId="2" borderId="24" xfId="0" applyFont="1" applyFill="1" applyBorder="1" applyAlignment="1">
      <alignment horizontal="center" vertical="center" wrapText="1" shrinkToFit="1"/>
    </xf>
    <xf numFmtId="0" fontId="5" fillId="2" borderId="59" xfId="0" applyFont="1" applyFill="1" applyBorder="1" applyAlignment="1">
      <alignment horizontal="center" vertical="center" wrapText="1" shrinkToFit="1"/>
    </xf>
    <xf numFmtId="0" fontId="5" fillId="2" borderId="97" xfId="0" applyFont="1" applyFill="1" applyBorder="1" applyAlignment="1">
      <alignment horizontal="center" vertical="center" wrapText="1" shrinkToFit="1"/>
    </xf>
    <xf numFmtId="0" fontId="5" fillId="2" borderId="42" xfId="0" applyFont="1" applyFill="1" applyBorder="1" applyAlignment="1">
      <alignment horizontal="center" vertical="center" shrinkToFit="1"/>
    </xf>
    <xf numFmtId="0" fontId="5" fillId="2" borderId="96" xfId="0" applyFont="1" applyFill="1" applyBorder="1" applyAlignment="1">
      <alignment horizontal="center" vertical="center" shrinkToFit="1"/>
    </xf>
    <xf numFmtId="58" fontId="5" fillId="3" borderId="65" xfId="0" applyNumberFormat="1" applyFont="1" applyFill="1" applyBorder="1" applyAlignment="1" applyProtection="1">
      <alignment horizontal="center" vertical="center" shrinkToFit="1"/>
      <protection locked="0"/>
    </xf>
    <xf numFmtId="183" fontId="9" fillId="0" borderId="102" xfId="0" applyNumberFormat="1" applyFont="1" applyBorder="1" applyAlignment="1">
      <alignment horizontal="right" vertical="center" shrinkToFit="1"/>
    </xf>
    <xf numFmtId="183" fontId="9" fillId="0" borderId="103" xfId="0" applyNumberFormat="1" applyFont="1" applyBorder="1" applyAlignment="1">
      <alignment horizontal="right" vertical="center" shrinkToFit="1"/>
    </xf>
    <xf numFmtId="183" fontId="9" fillId="0" borderId="104" xfId="0" applyNumberFormat="1" applyFont="1" applyBorder="1" applyAlignment="1">
      <alignment horizontal="right" vertical="center" shrinkToFit="1"/>
    </xf>
    <xf numFmtId="183" fontId="9" fillId="0" borderId="64" xfId="0" applyNumberFormat="1" applyFont="1" applyBorder="1" applyAlignment="1">
      <alignment horizontal="right" vertical="center" shrinkToFit="1"/>
    </xf>
    <xf numFmtId="183" fontId="9" fillId="0" borderId="65" xfId="0" applyNumberFormat="1" applyFont="1" applyBorder="1" applyAlignment="1">
      <alignment horizontal="right" vertical="center" shrinkToFit="1"/>
    </xf>
    <xf numFmtId="183" fontId="9" fillId="0" borderId="66" xfId="0" applyNumberFormat="1" applyFont="1" applyBorder="1" applyAlignment="1">
      <alignment horizontal="right" vertical="center" shrinkToFit="1"/>
    </xf>
    <xf numFmtId="183" fontId="6" fillId="0" borderId="103" xfId="0" applyNumberFormat="1" applyFont="1" applyBorder="1" applyAlignment="1">
      <alignment horizontal="right" vertical="center" shrinkToFit="1"/>
    </xf>
    <xf numFmtId="183" fontId="6" fillId="0" borderId="65" xfId="0" applyNumberFormat="1" applyFont="1" applyBorder="1" applyAlignment="1">
      <alignment horizontal="right" vertical="center" shrinkToFit="1"/>
    </xf>
    <xf numFmtId="0" fontId="8" fillId="0" borderId="0" xfId="0" applyFont="1" applyAlignment="1">
      <alignment horizontal="center" vertical="center" shrinkToFit="1"/>
    </xf>
    <xf numFmtId="0" fontId="5" fillId="3" borderId="28" xfId="0" applyFont="1" applyFill="1" applyBorder="1" applyAlignment="1" applyProtection="1">
      <alignment horizontal="left" vertical="center" shrinkToFit="1"/>
      <protection locked="0"/>
    </xf>
    <xf numFmtId="0" fontId="5" fillId="3" borderId="29" xfId="0" applyFont="1" applyFill="1" applyBorder="1" applyAlignment="1" applyProtection="1">
      <alignment horizontal="left" vertical="center" shrinkToFit="1"/>
      <protection locked="0"/>
    </xf>
    <xf numFmtId="182" fontId="26" fillId="0" borderId="0" xfId="0" applyNumberFormat="1" applyFont="1" applyBorder="1" applyAlignment="1">
      <alignment horizontal="left" vertical="center" wrapText="1" shrinkToFit="1"/>
    </xf>
    <xf numFmtId="0" fontId="5" fillId="3" borderId="37" xfId="0" applyFont="1" applyFill="1" applyBorder="1" applyAlignment="1" applyProtection="1">
      <alignment horizontal="left" vertical="center" shrinkToFit="1"/>
      <protection locked="0"/>
    </xf>
    <xf numFmtId="0" fontId="5" fillId="3" borderId="55" xfId="0" applyFont="1" applyFill="1" applyBorder="1" applyAlignment="1" applyProtection="1">
      <alignment horizontal="left" vertical="center" shrinkToFit="1"/>
      <protection locked="0"/>
    </xf>
    <xf numFmtId="0" fontId="8" fillId="2" borderId="102" xfId="0" applyFont="1" applyFill="1" applyBorder="1" applyAlignment="1">
      <alignment horizontal="center" vertical="center" shrinkToFit="1"/>
    </xf>
    <xf numFmtId="0" fontId="8" fillId="2" borderId="64" xfId="0" applyFont="1" applyFill="1" applyBorder="1" applyAlignment="1">
      <alignment horizontal="center" vertical="center" shrinkToFit="1"/>
    </xf>
    <xf numFmtId="0" fontId="8" fillId="2" borderId="102" xfId="0" applyFont="1" applyFill="1" applyBorder="1" applyAlignment="1">
      <alignment horizontal="center" vertical="center" wrapText="1" shrinkToFit="1"/>
    </xf>
    <xf numFmtId="0" fontId="8" fillId="2" borderId="64" xfId="0" applyFont="1" applyFill="1" applyBorder="1" applyAlignment="1">
      <alignment horizontal="center" vertical="center" wrapText="1" shrinkToFit="1"/>
    </xf>
    <xf numFmtId="0" fontId="5" fillId="3" borderId="26" xfId="0" applyFont="1" applyFill="1" applyBorder="1" applyAlignment="1" applyProtection="1">
      <alignment horizontal="left" vertical="center" shrinkToFit="1"/>
      <protection locked="0"/>
    </xf>
    <xf numFmtId="0" fontId="5" fillId="3" borderId="27" xfId="0" applyFont="1" applyFill="1" applyBorder="1" applyAlignment="1" applyProtection="1">
      <alignment horizontal="left" vertical="center" shrinkToFit="1"/>
      <protection locked="0"/>
    </xf>
    <xf numFmtId="0" fontId="5" fillId="2" borderId="6" xfId="0" applyFont="1" applyFill="1" applyBorder="1" applyAlignment="1">
      <alignment horizontal="center" vertical="center" shrinkToFit="1"/>
    </xf>
    <xf numFmtId="0" fontId="5" fillId="2" borderId="45" xfId="0" applyFont="1" applyFill="1" applyBorder="1" applyAlignment="1">
      <alignment horizontal="center" vertical="center" shrinkToFit="1"/>
    </xf>
    <xf numFmtId="0" fontId="5" fillId="2" borderId="23" xfId="0" applyFont="1" applyFill="1" applyBorder="1" applyAlignment="1">
      <alignment horizontal="center" vertical="center" wrapText="1" shrinkToFit="1"/>
    </xf>
    <xf numFmtId="0" fontId="5" fillId="2" borderId="7" xfId="0" applyFont="1" applyFill="1" applyBorder="1" applyAlignment="1">
      <alignment horizontal="center" vertical="center" shrinkToFit="1"/>
    </xf>
    <xf numFmtId="0" fontId="5" fillId="2" borderId="8" xfId="0" applyFont="1" applyFill="1" applyBorder="1" applyAlignment="1">
      <alignment horizontal="center" vertical="center" wrapText="1" shrinkToFit="1"/>
    </xf>
    <xf numFmtId="0" fontId="5" fillId="2" borderId="122" xfId="0" applyFont="1" applyFill="1" applyBorder="1" applyAlignment="1">
      <alignment horizontal="center" vertical="center" shrinkToFit="1"/>
    </xf>
    <xf numFmtId="0" fontId="5" fillId="2" borderId="36" xfId="0" applyFont="1" applyFill="1" applyBorder="1" applyAlignment="1">
      <alignment horizontal="center" vertical="center" shrinkToFit="1"/>
    </xf>
    <xf numFmtId="0" fontId="5" fillId="2" borderId="17"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5" fillId="2" borderId="36" xfId="0" applyFont="1" applyFill="1" applyBorder="1" applyAlignment="1">
      <alignment horizontal="center" vertical="center" wrapText="1" shrinkToFit="1"/>
    </xf>
    <xf numFmtId="0" fontId="5" fillId="2" borderId="121" xfId="0" applyFont="1" applyFill="1" applyBorder="1" applyAlignment="1">
      <alignment horizontal="center" vertical="center" wrapText="1" shrinkToFit="1"/>
    </xf>
    <xf numFmtId="0" fontId="5" fillId="0" borderId="33"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98" xfId="0" applyFont="1" applyBorder="1" applyAlignment="1">
      <alignment horizontal="center" vertical="center" shrinkToFit="1"/>
    </xf>
    <xf numFmtId="0" fontId="5" fillId="6" borderId="17" xfId="0" applyFont="1" applyFill="1" applyBorder="1" applyAlignment="1">
      <alignment horizontal="center" vertical="center" textRotation="255" shrinkToFit="1"/>
    </xf>
    <xf numFmtId="0" fontId="5" fillId="6" borderId="9" xfId="0" applyFont="1" applyFill="1" applyBorder="1" applyAlignment="1">
      <alignment horizontal="center" vertical="center" textRotation="255" shrinkToFit="1"/>
    </xf>
    <xf numFmtId="0" fontId="5" fillId="6" borderId="11" xfId="0" applyFont="1" applyFill="1" applyBorder="1" applyAlignment="1">
      <alignment horizontal="center" vertical="center" textRotation="255" shrinkToFit="1"/>
    </xf>
    <xf numFmtId="0" fontId="5" fillId="0" borderId="0" xfId="0" applyFont="1" applyFill="1" applyBorder="1" applyAlignment="1">
      <alignment horizontal="center" vertical="center" textRotation="255" shrinkToFit="1"/>
    </xf>
    <xf numFmtId="0" fontId="16" fillId="4" borderId="48" xfId="5" applyFont="1" applyFill="1" applyBorder="1" applyAlignment="1">
      <alignment horizontal="center" vertical="center" textRotation="255"/>
    </xf>
    <xf numFmtId="0" fontId="16" fillId="4" borderId="49" xfId="5" applyFont="1" applyFill="1" applyBorder="1" applyAlignment="1">
      <alignment horizontal="center" vertical="center" textRotation="255"/>
    </xf>
    <xf numFmtId="0" fontId="16" fillId="4" borderId="5" xfId="5" applyFont="1" applyFill="1" applyBorder="1" applyAlignment="1">
      <alignment horizontal="center" vertical="center" textRotation="255"/>
    </xf>
    <xf numFmtId="0" fontId="17" fillId="2" borderId="38"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35" xfId="0" applyFont="1" applyFill="1" applyBorder="1" applyAlignment="1">
      <alignment horizontal="center" vertical="center" wrapText="1"/>
    </xf>
    <xf numFmtId="0" fontId="17" fillId="2" borderId="1" xfId="0" applyFont="1" applyFill="1" applyBorder="1" applyAlignment="1">
      <alignment horizontal="center" vertical="center"/>
    </xf>
    <xf numFmtId="0" fontId="16" fillId="4" borderId="77" xfId="5" applyFont="1" applyFill="1" applyBorder="1" applyAlignment="1">
      <alignment horizontal="center" vertical="center"/>
    </xf>
    <xf numFmtId="0" fontId="16" fillId="4" borderId="79" xfId="5" applyFont="1" applyFill="1" applyBorder="1" applyAlignment="1">
      <alignment horizontal="center" vertical="center"/>
    </xf>
    <xf numFmtId="0" fontId="17" fillId="0" borderId="17" xfId="5" applyFont="1" applyBorder="1" applyAlignment="1">
      <alignment horizontal="center" vertical="center" shrinkToFit="1"/>
    </xf>
    <xf numFmtId="0" fontId="17" fillId="0" borderId="15" xfId="5" applyFont="1" applyBorder="1" applyAlignment="1">
      <alignment horizontal="center" vertical="center" shrinkToFit="1"/>
    </xf>
    <xf numFmtId="0" fontId="17" fillId="7" borderId="9" xfId="5" applyFont="1" applyFill="1" applyBorder="1" applyAlignment="1">
      <alignment horizontal="center" vertical="center" shrinkToFit="1"/>
    </xf>
    <xf numFmtId="0" fontId="17" fillId="7" borderId="10" xfId="5" applyFont="1" applyFill="1" applyBorder="1" applyAlignment="1">
      <alignment horizontal="center" vertical="center" shrinkToFit="1"/>
    </xf>
    <xf numFmtId="0" fontId="17" fillId="5" borderId="9" xfId="5" applyFont="1" applyFill="1" applyBorder="1" applyAlignment="1">
      <alignment horizontal="center" vertical="center" shrinkToFit="1"/>
    </xf>
    <xf numFmtId="0" fontId="17" fillId="5" borderId="10" xfId="5" applyFont="1" applyFill="1" applyBorder="1" applyAlignment="1">
      <alignment horizontal="center" vertical="center" shrinkToFit="1"/>
    </xf>
    <xf numFmtId="0" fontId="17" fillId="8" borderId="9" xfId="5" applyFont="1" applyFill="1" applyBorder="1" applyAlignment="1">
      <alignment horizontal="center" vertical="center" shrinkToFit="1"/>
    </xf>
    <xf numFmtId="0" fontId="17" fillId="8" borderId="10" xfId="5" applyFont="1" applyFill="1" applyBorder="1" applyAlignment="1">
      <alignment horizontal="center" vertical="center" shrinkToFit="1"/>
    </xf>
    <xf numFmtId="0" fontId="17" fillId="9" borderId="9" xfId="5" applyFont="1" applyFill="1" applyBorder="1" applyAlignment="1">
      <alignment horizontal="center" vertical="center" shrinkToFit="1"/>
    </xf>
    <xf numFmtId="0" fontId="17" fillId="9" borderId="10" xfId="5" applyFont="1" applyFill="1" applyBorder="1" applyAlignment="1">
      <alignment horizontal="center" vertical="center" shrinkToFit="1"/>
    </xf>
    <xf numFmtId="0" fontId="17" fillId="10" borderId="11" xfId="5" applyFont="1" applyFill="1" applyBorder="1" applyAlignment="1">
      <alignment horizontal="center" vertical="center" shrinkToFit="1"/>
    </xf>
    <xf numFmtId="0" fontId="17" fillId="10" borderId="13" xfId="5" applyFont="1" applyFill="1" applyBorder="1" applyAlignment="1">
      <alignment horizontal="center" vertical="center" shrinkToFit="1"/>
    </xf>
    <xf numFmtId="0" fontId="17" fillId="0" borderId="11" xfId="5" applyFont="1" applyBorder="1" applyAlignment="1">
      <alignment horizontal="center" vertical="center" shrinkToFit="1"/>
    </xf>
    <xf numFmtId="0" fontId="17" fillId="0" borderId="13" xfId="5" applyFont="1" applyBorder="1" applyAlignment="1">
      <alignment horizontal="center" vertical="center" shrinkToFit="1"/>
    </xf>
  </cellXfs>
  <cellStyles count="6">
    <cellStyle name="桁区切り" xfId="2" builtinId="6"/>
    <cellStyle name="標準" xfId="0" builtinId="0"/>
    <cellStyle name="標準 2" xfId="5" xr:uid="{EEC4D8E8-53A5-41E8-8443-054B80CDC66C}"/>
    <cellStyle name="標準 2 4" xfId="4" xr:uid="{00000000-0005-0000-0000-000003000000}"/>
    <cellStyle name="標準 3" xfId="3" xr:uid="{00000000-0005-0000-0000-000004000000}"/>
    <cellStyle name="標準 5" xfId="1" xr:uid="{00000000-0005-0000-0000-000005000000}"/>
  </cellStyles>
  <dxfs count="39">
    <dxf>
      <font>
        <color rgb="FF0070C0"/>
      </font>
      <fill>
        <patternFill>
          <bgColor theme="8" tint="0.39994506668294322"/>
        </patternFill>
      </fill>
    </dxf>
    <dxf>
      <fill>
        <patternFill>
          <bgColor theme="6" tint="0.39994506668294322"/>
        </patternFill>
      </fill>
    </dxf>
    <dxf>
      <fill>
        <patternFill>
          <bgColor theme="9" tint="0.39994506668294322"/>
        </patternFill>
      </fill>
    </dxf>
    <dxf>
      <fill>
        <patternFill>
          <bgColor theme="7" tint="0.39994506668294322"/>
        </patternFill>
      </fill>
    </dxf>
    <dxf>
      <fill>
        <patternFill>
          <bgColor theme="5" tint="0.39994506668294322"/>
        </patternFill>
      </fill>
    </dxf>
    <dxf>
      <font>
        <b/>
        <i val="0"/>
        <color rgb="FF0070C0"/>
      </font>
      <fill>
        <patternFill>
          <bgColor theme="8" tint="0.39994506668294322"/>
        </patternFill>
      </fill>
    </dxf>
    <dxf>
      <font>
        <b/>
        <i val="0"/>
        <color rgb="FFFF0000"/>
      </font>
      <fill>
        <patternFill>
          <bgColor rgb="FFFFCCFF"/>
        </patternFill>
      </fill>
    </dxf>
    <dxf>
      <fill>
        <patternFill>
          <bgColor rgb="FFFFCCFF"/>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border>
        <left style="thin">
          <color rgb="FFFF0000"/>
        </left>
        <right style="thin">
          <color rgb="FFFF0000"/>
        </right>
        <top style="thin">
          <color rgb="FFFF0000"/>
        </top>
        <bottom style="thin">
          <color rgb="FFFF0000"/>
        </bottom>
      </border>
    </dxf>
    <dxf>
      <font>
        <color theme="1"/>
      </font>
      <fill>
        <patternFill>
          <bgColor theme="0"/>
        </patternFill>
      </fill>
    </dxf>
    <dxf>
      <fill>
        <patternFill>
          <bgColor rgb="FFFFFF00"/>
        </patternFill>
      </fill>
      <border>
        <left style="thin">
          <color rgb="FFFF0000"/>
        </left>
        <right style="thin">
          <color rgb="FFFF0000"/>
        </right>
        <top style="thin">
          <color rgb="FFFF0000"/>
        </top>
        <bottom style="thin">
          <color rgb="FFFF0000"/>
        </bottom>
      </border>
    </dxf>
    <dxf>
      <font>
        <color theme="1"/>
      </font>
      <fill>
        <patternFill>
          <bgColor theme="0"/>
        </patternFill>
      </fill>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ill>
        <patternFill>
          <bgColor theme="0"/>
        </patternFill>
      </fill>
      <border>
        <bottom style="thin">
          <color theme="0"/>
        </bottom>
        <vertical/>
        <horizontal/>
      </border>
    </dxf>
    <dxf>
      <fill>
        <patternFill>
          <bgColor theme="0"/>
        </patternFill>
      </fill>
    </dxf>
    <dxf>
      <fill>
        <patternFill>
          <bgColor theme="0"/>
        </patternFill>
      </fill>
    </dxf>
    <dxf>
      <font>
        <color theme="0"/>
      </font>
      <fill>
        <patternFill>
          <bgColor theme="0"/>
        </patternFill>
      </fill>
    </dxf>
    <dxf>
      <font>
        <color theme="0"/>
      </font>
      <border>
        <right style="thin">
          <color theme="0"/>
        </right>
        <top style="thin">
          <color theme="0"/>
        </top>
        <bottom style="thin">
          <color theme="0"/>
        </bottom>
        <vertical/>
        <horizontal/>
      </border>
    </dxf>
    <dxf>
      <border>
        <left style="thin">
          <color theme="0"/>
        </left>
        <vertical/>
        <horizontal/>
      </border>
    </dxf>
    <dxf>
      <font>
        <color theme="0"/>
      </font>
    </dxf>
    <dxf>
      <font>
        <color theme="0"/>
      </font>
      <fill>
        <patternFill>
          <bgColor theme="0"/>
        </patternFill>
      </fill>
      <border>
        <left/>
        <right/>
        <bottom/>
        <vertical/>
        <horizontal/>
      </border>
    </dxf>
    <dxf>
      <font>
        <color theme="0"/>
      </font>
    </dxf>
    <dxf>
      <fill>
        <patternFill>
          <bgColor theme="0"/>
        </patternFill>
      </fill>
    </dxf>
    <dxf>
      <font>
        <color theme="0"/>
      </font>
      <fill>
        <patternFill>
          <bgColor theme="0"/>
        </patternFill>
      </fill>
      <border>
        <left/>
        <right/>
        <bottom/>
        <vertical/>
        <horizontal/>
      </border>
    </dxf>
    <dxf>
      <font>
        <color theme="0"/>
      </font>
    </dxf>
  </dxfs>
  <tableStyles count="0" defaultTableStyle="TableStyleMedium2" defaultPivotStyle="PivotStyleLight16"/>
  <colors>
    <mruColors>
      <color rgb="FFFFCCFF"/>
      <color rgb="FFFF99CC"/>
      <color rgb="FF9966FF"/>
      <color rgb="FFFF9999"/>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14</xdr:row>
      <xdr:rowOff>204785</xdr:rowOff>
    </xdr:from>
    <xdr:to>
      <xdr:col>3</xdr:col>
      <xdr:colOff>345282</xdr:colOff>
      <xdr:row>16</xdr:row>
      <xdr:rowOff>183353</xdr:rowOff>
    </xdr:to>
    <xdr:grpSp>
      <xdr:nvGrpSpPr>
        <xdr:cNvPr id="21" name="グループ化 20">
          <a:extLst>
            <a:ext uri="{FF2B5EF4-FFF2-40B4-BE49-F238E27FC236}">
              <a16:creationId xmlns:a16="http://schemas.microsoft.com/office/drawing/2014/main" id="{F7571199-1489-4043-A075-3DA0E2785B35}"/>
            </a:ext>
          </a:extLst>
        </xdr:cNvPr>
        <xdr:cNvGrpSpPr/>
      </xdr:nvGrpSpPr>
      <xdr:grpSpPr>
        <a:xfrm>
          <a:off x="1804147" y="3185550"/>
          <a:ext cx="1701194" cy="404391"/>
          <a:chOff x="3181353" y="552450"/>
          <a:chExt cx="1411043" cy="609927"/>
        </a:xfrm>
      </xdr:grpSpPr>
      <xdr:sp macro="" textlink="">
        <xdr:nvSpPr>
          <xdr:cNvPr id="22" name="テキスト ボックス 21">
            <a:extLst>
              <a:ext uri="{FF2B5EF4-FFF2-40B4-BE49-F238E27FC236}">
                <a16:creationId xmlns:a16="http://schemas.microsoft.com/office/drawing/2014/main" id="{4EDD0A05-E585-42C2-8752-2EA7A823717A}"/>
              </a:ext>
            </a:extLst>
          </xdr:cNvPr>
          <xdr:cNvSpPr txBox="1"/>
        </xdr:nvSpPr>
        <xdr:spPr>
          <a:xfrm>
            <a:off x="3181353" y="552450"/>
            <a:ext cx="1411043"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Ａ列の学校名について</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プルダウンから選択</a:t>
            </a:r>
          </a:p>
        </xdr:txBody>
      </xdr:sp>
      <xdr:sp macro="" textlink="">
        <xdr:nvSpPr>
          <xdr:cNvPr id="23" name="テキスト ボックス 22">
            <a:extLst>
              <a:ext uri="{FF2B5EF4-FFF2-40B4-BE49-F238E27FC236}">
                <a16:creationId xmlns:a16="http://schemas.microsoft.com/office/drawing/2014/main" id="{B59318A3-6C7A-4139-B056-EC9646A61BD9}"/>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④</a:t>
            </a:r>
          </a:p>
        </xdr:txBody>
      </xdr:sp>
    </xdr:grpSp>
    <xdr:clientData fPrintsWithSheet="0"/>
  </xdr:twoCellAnchor>
  <xdr:twoCellAnchor>
    <xdr:from>
      <xdr:col>10</xdr:col>
      <xdr:colOff>82361</xdr:colOff>
      <xdr:row>12</xdr:row>
      <xdr:rowOff>130691</xdr:rowOff>
    </xdr:from>
    <xdr:to>
      <xdr:col>11</xdr:col>
      <xdr:colOff>797719</xdr:colOff>
      <xdr:row>14</xdr:row>
      <xdr:rowOff>110656</xdr:rowOff>
    </xdr:to>
    <xdr:grpSp>
      <xdr:nvGrpSpPr>
        <xdr:cNvPr id="11" name="グループ化 10">
          <a:extLst>
            <a:ext uri="{FF2B5EF4-FFF2-40B4-BE49-F238E27FC236}">
              <a16:creationId xmlns:a16="http://schemas.microsoft.com/office/drawing/2014/main" id="{20CFD044-D3C8-49B3-9BFB-D7A9747BBA89}"/>
            </a:ext>
          </a:extLst>
        </xdr:cNvPr>
        <xdr:cNvGrpSpPr/>
      </xdr:nvGrpSpPr>
      <xdr:grpSpPr>
        <a:xfrm>
          <a:off x="10571067" y="2685632"/>
          <a:ext cx="1981623" cy="405789"/>
          <a:chOff x="3181351" y="552450"/>
          <a:chExt cx="982954" cy="609927"/>
        </a:xfrm>
      </xdr:grpSpPr>
      <xdr:sp macro="" textlink="">
        <xdr:nvSpPr>
          <xdr:cNvPr id="12" name="テキスト ボックス 11">
            <a:extLst>
              <a:ext uri="{FF2B5EF4-FFF2-40B4-BE49-F238E27FC236}">
                <a16:creationId xmlns:a16="http://schemas.microsoft.com/office/drawing/2014/main" id="{888E2F28-98AE-40DC-B195-078BFC55710C}"/>
              </a:ext>
            </a:extLst>
          </xdr:cNvPr>
          <xdr:cNvSpPr txBox="1"/>
        </xdr:nvSpPr>
        <xdr:spPr>
          <a:xfrm>
            <a:off x="3181351" y="552450"/>
            <a:ext cx="982954"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L</a:t>
            </a:r>
            <a:r>
              <a:rPr kumimoji="1" lang="ja-JP" altLang="en-US" sz="900" b="1">
                <a:latin typeface="ＭＳ ゴシック" panose="020B0609070205080204" pitchFamily="49" charset="-128"/>
                <a:ea typeface="ＭＳ ゴシック" panose="020B0609070205080204" pitchFamily="49" charset="-128"/>
              </a:rPr>
              <a:t>列及び</a:t>
            </a:r>
            <a:r>
              <a:rPr kumimoji="1" lang="en-US" altLang="ja-JP" sz="900" b="1">
                <a:latin typeface="ＭＳ ゴシック" panose="020B0609070205080204" pitchFamily="49" charset="-128"/>
                <a:ea typeface="ＭＳ ゴシック" panose="020B0609070205080204" pitchFamily="49" charset="-128"/>
              </a:rPr>
              <a:t>O</a:t>
            </a:r>
            <a:r>
              <a:rPr kumimoji="1" lang="ja-JP" altLang="en-US" sz="900" b="1">
                <a:latin typeface="ＭＳ ゴシック" panose="020B0609070205080204" pitchFamily="49" charset="-128"/>
                <a:ea typeface="ＭＳ ゴシック" panose="020B0609070205080204" pitchFamily="49" charset="-128"/>
              </a:rPr>
              <a:t>列について</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赤枠・黄色セルに入力</a:t>
            </a:r>
          </a:p>
        </xdr:txBody>
      </xdr:sp>
      <xdr:sp macro="" textlink="">
        <xdr:nvSpPr>
          <xdr:cNvPr id="13" name="テキスト ボックス 12">
            <a:extLst>
              <a:ext uri="{FF2B5EF4-FFF2-40B4-BE49-F238E27FC236}">
                <a16:creationId xmlns:a16="http://schemas.microsoft.com/office/drawing/2014/main" id="{E93B70E0-DDDE-4E54-B7A7-3A10DD62D4ED}"/>
              </a:ext>
            </a:extLst>
          </xdr:cNvPr>
          <xdr:cNvSpPr txBox="1"/>
        </xdr:nvSpPr>
        <xdr:spPr>
          <a:xfrm>
            <a:off x="3192411" y="655745"/>
            <a:ext cx="232638"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⑤</a:t>
            </a:r>
          </a:p>
        </xdr:txBody>
      </xdr:sp>
    </xdr:grpSp>
    <xdr:clientData fPrintsWithSheet="0"/>
  </xdr:twoCellAnchor>
  <xdr:twoCellAnchor>
    <xdr:from>
      <xdr:col>1</xdr:col>
      <xdr:colOff>0</xdr:colOff>
      <xdr:row>3</xdr:row>
      <xdr:rowOff>78438</xdr:rowOff>
    </xdr:from>
    <xdr:to>
      <xdr:col>3</xdr:col>
      <xdr:colOff>818030</xdr:colOff>
      <xdr:row>6</xdr:row>
      <xdr:rowOff>133350</xdr:rowOff>
    </xdr:to>
    <xdr:sp macro="" textlink="">
      <xdr:nvSpPr>
        <xdr:cNvPr id="26" name="テキスト ボックス 25">
          <a:extLst>
            <a:ext uri="{FF2B5EF4-FFF2-40B4-BE49-F238E27FC236}">
              <a16:creationId xmlns:a16="http://schemas.microsoft.com/office/drawing/2014/main" id="{56DD7F0F-F2CB-4A4E-85A8-8548901961C6}"/>
            </a:ext>
          </a:extLst>
        </xdr:cNvPr>
        <xdr:cNvSpPr txBox="1"/>
      </xdr:nvSpPr>
      <xdr:spPr>
        <a:xfrm>
          <a:off x="1800225" y="707088"/>
          <a:ext cx="2170580" cy="683562"/>
        </a:xfrm>
        <a:prstGeom prst="rect">
          <a:avLst/>
        </a:prstGeom>
        <a:solidFill>
          <a:srgbClr val="FF99CC"/>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1200" b="1">
              <a:latin typeface="ＭＳ ゴシック" panose="020B0609070205080204" pitchFamily="49" charset="-128"/>
              <a:ea typeface="ＭＳ ゴシック" panose="020B0609070205080204" pitchFamily="49" charset="-128"/>
            </a:rPr>
            <a:t>黄色セルに入力</a:t>
          </a:r>
          <a:endParaRPr kumimoji="1" lang="en-US" altLang="ja-JP" sz="1200" b="1">
            <a:latin typeface="ＭＳ ゴシック" panose="020B0609070205080204" pitchFamily="49" charset="-128"/>
            <a:ea typeface="ＭＳ ゴシック" panose="020B0609070205080204" pitchFamily="49" charset="-128"/>
          </a:endParaRPr>
        </a:p>
        <a:p>
          <a:r>
            <a:rPr kumimoji="1" lang="en-US" altLang="ja-JP" sz="1200" b="1">
              <a:latin typeface="ＭＳ ゴシック" panose="020B0609070205080204" pitchFamily="49" charset="-128"/>
              <a:ea typeface="ＭＳ ゴシック" panose="020B0609070205080204" pitchFamily="49" charset="-128"/>
            </a:rPr>
            <a:t>※</a:t>
          </a:r>
          <a:r>
            <a:rPr kumimoji="1" lang="ja-JP" altLang="en-US" sz="1200" b="1">
              <a:latin typeface="ＭＳ ゴシック" panose="020B0609070205080204" pitchFamily="49" charset="-128"/>
              <a:ea typeface="ＭＳ ゴシック" panose="020B0609070205080204" pitchFamily="49" charset="-128"/>
            </a:rPr>
            <a:t>入力済みのセルは白色に変わる</a:t>
          </a:r>
        </a:p>
      </xdr:txBody>
    </xdr:sp>
    <xdr:clientData fPrintsWithSheet="0"/>
  </xdr:twoCellAnchor>
  <xdr:twoCellAnchor>
    <xdr:from>
      <xdr:col>10</xdr:col>
      <xdr:colOff>82924</xdr:colOff>
      <xdr:row>0</xdr:row>
      <xdr:rowOff>49306</xdr:rowOff>
    </xdr:from>
    <xdr:to>
      <xdr:col>11</xdr:col>
      <xdr:colOff>809626</xdr:colOff>
      <xdr:row>2</xdr:row>
      <xdr:rowOff>29273</xdr:rowOff>
    </xdr:to>
    <xdr:grpSp>
      <xdr:nvGrpSpPr>
        <xdr:cNvPr id="28" name="グループ化 27">
          <a:extLst>
            <a:ext uri="{FF2B5EF4-FFF2-40B4-BE49-F238E27FC236}">
              <a16:creationId xmlns:a16="http://schemas.microsoft.com/office/drawing/2014/main" id="{EC296472-E008-436F-8088-DCF9AEDD1E8F}"/>
            </a:ext>
          </a:extLst>
        </xdr:cNvPr>
        <xdr:cNvGrpSpPr/>
      </xdr:nvGrpSpPr>
      <xdr:grpSpPr>
        <a:xfrm>
          <a:off x="10571630" y="49306"/>
          <a:ext cx="1992967" cy="405791"/>
          <a:chOff x="3181352" y="552450"/>
          <a:chExt cx="1075989" cy="609927"/>
        </a:xfrm>
      </xdr:grpSpPr>
      <xdr:sp macro="" textlink="">
        <xdr:nvSpPr>
          <xdr:cNvPr id="29" name="テキスト ボックス 28">
            <a:extLst>
              <a:ext uri="{FF2B5EF4-FFF2-40B4-BE49-F238E27FC236}">
                <a16:creationId xmlns:a16="http://schemas.microsoft.com/office/drawing/2014/main" id="{402C3A22-BA4F-48D8-9640-68F46ED1F632}"/>
              </a:ext>
            </a:extLst>
          </xdr:cNvPr>
          <xdr:cNvSpPr txBox="1"/>
        </xdr:nvSpPr>
        <xdr:spPr>
          <a:xfrm>
            <a:off x="3181352" y="552450"/>
            <a:ext cx="1075989"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J</a:t>
            </a:r>
            <a:r>
              <a:rPr kumimoji="1" lang="ja-JP" altLang="en-US" sz="900" b="1">
                <a:latin typeface="ＭＳ ゴシック" panose="020B0609070205080204" pitchFamily="49" charset="-128"/>
                <a:ea typeface="ＭＳ ゴシック" panose="020B0609070205080204" pitchFamily="49" charset="-128"/>
              </a:rPr>
              <a:t>２セルについて業務名を</a:t>
            </a:r>
          </a:p>
          <a:p>
            <a:r>
              <a:rPr kumimoji="1" lang="ja-JP" altLang="en-US" sz="900" b="1">
                <a:latin typeface="ＭＳ ゴシック" panose="020B0609070205080204" pitchFamily="49" charset="-128"/>
                <a:ea typeface="ＭＳ ゴシック" panose="020B0609070205080204" pitchFamily="49" charset="-128"/>
              </a:rPr>
              <a:t>　　　プルダウンから選択</a:t>
            </a:r>
          </a:p>
        </xdr:txBody>
      </xdr:sp>
      <xdr:sp macro="" textlink="">
        <xdr:nvSpPr>
          <xdr:cNvPr id="30" name="テキスト ボックス 29">
            <a:extLst>
              <a:ext uri="{FF2B5EF4-FFF2-40B4-BE49-F238E27FC236}">
                <a16:creationId xmlns:a16="http://schemas.microsoft.com/office/drawing/2014/main" id="{83B784D6-68ED-4D21-884A-84201E987AAD}"/>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①</a:t>
            </a:r>
          </a:p>
        </xdr:txBody>
      </xdr:sp>
    </xdr:grpSp>
    <xdr:clientData fPrintsWithSheet="0"/>
  </xdr:twoCellAnchor>
  <xdr:twoCellAnchor>
    <xdr:from>
      <xdr:col>10</xdr:col>
      <xdr:colOff>78438</xdr:colOff>
      <xdr:row>5</xdr:row>
      <xdr:rowOff>35018</xdr:rowOff>
    </xdr:from>
    <xdr:to>
      <xdr:col>14</xdr:col>
      <xdr:colOff>166687</xdr:colOff>
      <xdr:row>8</xdr:row>
      <xdr:rowOff>81243</xdr:rowOff>
    </xdr:to>
    <xdr:grpSp>
      <xdr:nvGrpSpPr>
        <xdr:cNvPr id="31" name="グループ化 30">
          <a:extLst>
            <a:ext uri="{FF2B5EF4-FFF2-40B4-BE49-F238E27FC236}">
              <a16:creationId xmlns:a16="http://schemas.microsoft.com/office/drawing/2014/main" id="{F66F5D36-BE88-41D4-8E4E-902353C59CFA}"/>
            </a:ext>
          </a:extLst>
        </xdr:cNvPr>
        <xdr:cNvGrpSpPr/>
      </xdr:nvGrpSpPr>
      <xdr:grpSpPr>
        <a:xfrm>
          <a:off x="10567144" y="1099577"/>
          <a:ext cx="2620778" cy="684960"/>
          <a:chOff x="2783518" y="552450"/>
          <a:chExt cx="1305128" cy="1028080"/>
        </a:xfrm>
      </xdr:grpSpPr>
      <xdr:sp macro="" textlink="">
        <xdr:nvSpPr>
          <xdr:cNvPr id="32" name="テキスト ボックス 31">
            <a:extLst>
              <a:ext uri="{FF2B5EF4-FFF2-40B4-BE49-F238E27FC236}">
                <a16:creationId xmlns:a16="http://schemas.microsoft.com/office/drawing/2014/main" id="{65E339E0-3117-4E6B-8B24-68BFF31A4CE0}"/>
              </a:ext>
            </a:extLst>
          </xdr:cNvPr>
          <xdr:cNvSpPr txBox="1"/>
        </xdr:nvSpPr>
        <xdr:spPr>
          <a:xfrm>
            <a:off x="2783518" y="552450"/>
            <a:ext cx="1305128" cy="1028080"/>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Ｈ１セルについて日付を入力</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※J</a:t>
            </a:r>
            <a:r>
              <a:rPr kumimoji="1" lang="ja-JP" altLang="en-US" sz="900" b="1">
                <a:latin typeface="ＭＳ ゴシック" panose="020B0609070205080204" pitchFamily="49" charset="-128"/>
                <a:ea typeface="ＭＳ ゴシック" panose="020B0609070205080204" pitchFamily="49" charset="-128"/>
              </a:rPr>
              <a:t>１０セルが</a:t>
            </a:r>
            <a:r>
              <a:rPr kumimoji="1" lang="en-US" altLang="ja-JP" sz="900" b="1">
                <a:latin typeface="ＭＳ ゴシック" panose="020B0609070205080204" pitchFamily="49" charset="-128"/>
                <a:ea typeface="ＭＳ ゴシック" panose="020B0609070205080204" pitchFamily="49" charset="-128"/>
              </a:rPr>
              <a:t>『</a:t>
            </a:r>
            <a:r>
              <a:rPr kumimoji="1" lang="ja-JP" altLang="en-US" sz="900" b="1">
                <a:latin typeface="ＭＳ ゴシック" panose="020B0609070205080204" pitchFamily="49" charset="-128"/>
                <a:ea typeface="ＭＳ ゴシック" panose="020B0609070205080204" pitchFamily="49" charset="-128"/>
              </a:rPr>
              <a:t>見積書</a:t>
            </a:r>
            <a:r>
              <a:rPr kumimoji="1" lang="en-US" altLang="ja-JP" sz="900" b="1">
                <a:latin typeface="ＭＳ ゴシック" panose="020B0609070205080204" pitchFamily="49" charset="-128"/>
                <a:ea typeface="ＭＳ ゴシック" panose="020B0609070205080204" pitchFamily="49" charset="-128"/>
              </a:rPr>
              <a:t>』</a:t>
            </a:r>
            <a:r>
              <a:rPr kumimoji="1" lang="ja-JP" altLang="en-US" sz="900" b="1">
                <a:latin typeface="ＭＳ ゴシック" panose="020B0609070205080204" pitchFamily="49" charset="-128"/>
                <a:ea typeface="ＭＳ ゴシック" panose="020B0609070205080204" pitchFamily="49" charset="-128"/>
              </a:rPr>
              <a:t>の場合に限る</a:t>
            </a:r>
          </a:p>
          <a:p>
            <a:r>
              <a:rPr kumimoji="1" lang="ja-JP" altLang="en-US" sz="900" b="1">
                <a:latin typeface="ＭＳ ゴシック" panose="020B0609070205080204" pitchFamily="49" charset="-128"/>
                <a:ea typeface="ＭＳ ゴシック" panose="020B0609070205080204" pitchFamily="49" charset="-128"/>
              </a:rPr>
              <a:t>　　　新規契約の場合：手入力</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変更契約の場合：プルダウンから選択</a:t>
            </a:r>
          </a:p>
        </xdr:txBody>
      </xdr:sp>
      <xdr:sp macro="" textlink="">
        <xdr:nvSpPr>
          <xdr:cNvPr id="33" name="テキスト ボックス 32">
            <a:extLst>
              <a:ext uri="{FF2B5EF4-FFF2-40B4-BE49-F238E27FC236}">
                <a16:creationId xmlns:a16="http://schemas.microsoft.com/office/drawing/2014/main" id="{7C905C9E-812F-4A6D-965B-15EC34A74A19}"/>
              </a:ext>
            </a:extLst>
          </xdr:cNvPr>
          <xdr:cNvSpPr txBox="1"/>
        </xdr:nvSpPr>
        <xdr:spPr>
          <a:xfrm>
            <a:off x="2800698" y="739961"/>
            <a:ext cx="235953" cy="3949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③</a:t>
            </a:r>
          </a:p>
        </xdr:txBody>
      </xdr:sp>
    </xdr:grpSp>
    <xdr:clientData fPrintsWithSheet="0"/>
  </xdr:twoCellAnchor>
  <xdr:twoCellAnchor>
    <xdr:from>
      <xdr:col>10</xdr:col>
      <xdr:colOff>78437</xdr:colOff>
      <xdr:row>2</xdr:row>
      <xdr:rowOff>94128</xdr:rowOff>
    </xdr:from>
    <xdr:to>
      <xdr:col>14</xdr:col>
      <xdr:colOff>119062</xdr:colOff>
      <xdr:row>4</xdr:row>
      <xdr:rowOff>185752</xdr:rowOff>
    </xdr:to>
    <xdr:grpSp>
      <xdr:nvGrpSpPr>
        <xdr:cNvPr id="18" name="グループ化 17">
          <a:extLst>
            <a:ext uri="{FF2B5EF4-FFF2-40B4-BE49-F238E27FC236}">
              <a16:creationId xmlns:a16="http://schemas.microsoft.com/office/drawing/2014/main" id="{65A8DD46-7E62-4BFA-BDF6-5070EF6C0D41}"/>
            </a:ext>
          </a:extLst>
        </xdr:cNvPr>
        <xdr:cNvGrpSpPr/>
      </xdr:nvGrpSpPr>
      <xdr:grpSpPr>
        <a:xfrm>
          <a:off x="10567143" y="519952"/>
          <a:ext cx="2573154" cy="517447"/>
          <a:chOff x="3181350" y="552450"/>
          <a:chExt cx="1358697" cy="576308"/>
        </a:xfrm>
      </xdr:grpSpPr>
      <xdr:sp macro="" textlink="">
        <xdr:nvSpPr>
          <xdr:cNvPr id="19" name="テキスト ボックス 18">
            <a:extLst>
              <a:ext uri="{FF2B5EF4-FFF2-40B4-BE49-F238E27FC236}">
                <a16:creationId xmlns:a16="http://schemas.microsoft.com/office/drawing/2014/main" id="{A30ED208-4902-431C-974F-1C3B55A3B8B2}"/>
              </a:ext>
            </a:extLst>
          </xdr:cNvPr>
          <xdr:cNvSpPr txBox="1"/>
        </xdr:nvSpPr>
        <xdr:spPr>
          <a:xfrm>
            <a:off x="3181350" y="552450"/>
            <a:ext cx="1358697" cy="576308"/>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J</a:t>
            </a:r>
            <a:r>
              <a:rPr kumimoji="1" lang="ja-JP" altLang="en-US" sz="900" b="1">
                <a:latin typeface="ＭＳ ゴシック" panose="020B0609070205080204" pitchFamily="49" charset="-128"/>
                <a:ea typeface="ＭＳ ゴシック" panose="020B0609070205080204" pitchFamily="49" charset="-128"/>
              </a:rPr>
              <a:t>７セルについてプルダウンから選択</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入札時又は新規契約時：契約</a:t>
            </a:r>
            <a:r>
              <a:rPr kumimoji="1" lang="en-US" altLang="ja-JP" sz="900" b="1">
                <a:latin typeface="ＭＳ ゴシック" panose="020B0609070205080204" pitchFamily="49" charset="-128"/>
                <a:ea typeface="ＭＳ ゴシック" panose="020B0609070205080204" pitchFamily="49" charset="-128"/>
              </a:rPr>
              <a:t>1</a:t>
            </a:r>
            <a:r>
              <a:rPr kumimoji="1" lang="ja-JP" altLang="en-US" sz="900" b="1">
                <a:latin typeface="ＭＳ ゴシック" panose="020B0609070205080204" pitchFamily="49" charset="-128"/>
                <a:ea typeface="ＭＳ ゴシック" panose="020B0609070205080204" pitchFamily="49" charset="-128"/>
              </a:rPr>
              <a:t>年目</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契約</a:t>
            </a:r>
            <a:r>
              <a:rPr kumimoji="1" lang="en-US" altLang="ja-JP" sz="900" b="1">
                <a:latin typeface="ＭＳ ゴシック" panose="020B0609070205080204" pitchFamily="49" charset="-128"/>
                <a:ea typeface="ＭＳ ゴシック" panose="020B0609070205080204" pitchFamily="49" charset="-128"/>
              </a:rPr>
              <a:t>2</a:t>
            </a:r>
            <a:r>
              <a:rPr kumimoji="1" lang="ja-JP" altLang="en-US" sz="900" b="1">
                <a:latin typeface="ＭＳ ゴシック" panose="020B0609070205080204" pitchFamily="49" charset="-128"/>
                <a:ea typeface="ＭＳ ゴシック" panose="020B0609070205080204" pitchFamily="49" charset="-128"/>
              </a:rPr>
              <a:t>年目以降：該当する時期</a:t>
            </a:r>
          </a:p>
        </xdr:txBody>
      </xdr:sp>
      <xdr:sp macro="" textlink="">
        <xdr:nvSpPr>
          <xdr:cNvPr id="20" name="テキスト ボックス 19">
            <a:extLst>
              <a:ext uri="{FF2B5EF4-FFF2-40B4-BE49-F238E27FC236}">
                <a16:creationId xmlns:a16="http://schemas.microsoft.com/office/drawing/2014/main" id="{1FF914AC-D696-48D9-9AC1-B8BCAF573299}"/>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②</a:t>
            </a:r>
          </a:p>
        </xdr:txBody>
      </xdr:sp>
    </xdr:grpSp>
    <xdr:clientData fPrintsWithSheet="0"/>
  </xdr:twoCellAnchor>
  <xdr:twoCellAnchor>
    <xdr:from>
      <xdr:col>9</xdr:col>
      <xdr:colOff>179854</xdr:colOff>
      <xdr:row>27</xdr:row>
      <xdr:rowOff>26894</xdr:rowOff>
    </xdr:from>
    <xdr:to>
      <xdr:col>9</xdr:col>
      <xdr:colOff>1566861</xdr:colOff>
      <xdr:row>29</xdr:row>
      <xdr:rowOff>6860</xdr:rowOff>
    </xdr:to>
    <xdr:grpSp>
      <xdr:nvGrpSpPr>
        <xdr:cNvPr id="2" name="グループ化 1">
          <a:extLst>
            <a:ext uri="{FF2B5EF4-FFF2-40B4-BE49-F238E27FC236}">
              <a16:creationId xmlns:a16="http://schemas.microsoft.com/office/drawing/2014/main" id="{83AC0E33-3164-43A6-8DB6-62E51EFE742E}"/>
            </a:ext>
          </a:extLst>
        </xdr:cNvPr>
        <xdr:cNvGrpSpPr/>
      </xdr:nvGrpSpPr>
      <xdr:grpSpPr>
        <a:xfrm>
          <a:off x="8718736" y="5775512"/>
          <a:ext cx="1387007" cy="405789"/>
          <a:chOff x="3181352" y="552449"/>
          <a:chExt cx="758944" cy="609927"/>
        </a:xfrm>
      </xdr:grpSpPr>
      <xdr:sp macro="" textlink="">
        <xdr:nvSpPr>
          <xdr:cNvPr id="3" name="テキスト ボックス 2">
            <a:extLst>
              <a:ext uri="{FF2B5EF4-FFF2-40B4-BE49-F238E27FC236}">
                <a16:creationId xmlns:a16="http://schemas.microsoft.com/office/drawing/2014/main" id="{AB9F0B0E-2195-8178-540E-A53B8507F665}"/>
              </a:ext>
            </a:extLst>
          </xdr:cNvPr>
          <xdr:cNvSpPr txBox="1"/>
        </xdr:nvSpPr>
        <xdr:spPr>
          <a:xfrm>
            <a:off x="3181352" y="552449"/>
            <a:ext cx="758944"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各単価等を</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黄色セルに入力</a:t>
            </a:r>
          </a:p>
        </xdr:txBody>
      </xdr:sp>
      <xdr:sp macro="" textlink="">
        <xdr:nvSpPr>
          <xdr:cNvPr id="4" name="テキスト ボックス 3">
            <a:extLst>
              <a:ext uri="{FF2B5EF4-FFF2-40B4-BE49-F238E27FC236}">
                <a16:creationId xmlns:a16="http://schemas.microsoft.com/office/drawing/2014/main" id="{6A3C2DEA-BC65-D3B3-AA59-E506D38EBF05}"/>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⑥</a:t>
            </a:r>
          </a:p>
        </xdr:txBody>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9</xdr:col>
      <xdr:colOff>321469</xdr:colOff>
      <xdr:row>28</xdr:row>
      <xdr:rowOff>47625</xdr:rowOff>
    </xdr:from>
    <xdr:to>
      <xdr:col>14</xdr:col>
      <xdr:colOff>247652</xdr:colOff>
      <xdr:row>35</xdr:row>
      <xdr:rowOff>0</xdr:rowOff>
    </xdr:to>
    <xdr:grpSp>
      <xdr:nvGrpSpPr>
        <xdr:cNvPr id="11" name="グループ化 10">
          <a:extLst>
            <a:ext uri="{FF2B5EF4-FFF2-40B4-BE49-F238E27FC236}">
              <a16:creationId xmlns:a16="http://schemas.microsoft.com/office/drawing/2014/main" id="{092D1820-FD4B-46E5-AB6E-E31FED82B411}"/>
            </a:ext>
          </a:extLst>
        </xdr:cNvPr>
        <xdr:cNvGrpSpPr/>
      </xdr:nvGrpSpPr>
      <xdr:grpSpPr>
        <a:xfrm>
          <a:off x="9700793" y="6009154"/>
          <a:ext cx="5136918" cy="1442758"/>
          <a:chOff x="9658348" y="6036469"/>
          <a:chExt cx="5105402" cy="1666875"/>
        </a:xfrm>
      </xdr:grpSpPr>
      <xdr:sp macro="" textlink="">
        <xdr:nvSpPr>
          <xdr:cNvPr id="17" name="正方形/長方形 16">
            <a:extLst>
              <a:ext uri="{FF2B5EF4-FFF2-40B4-BE49-F238E27FC236}">
                <a16:creationId xmlns:a16="http://schemas.microsoft.com/office/drawing/2014/main" id="{D1F85C35-3A54-4067-B685-D9D4597A5766}"/>
              </a:ext>
            </a:extLst>
          </xdr:cNvPr>
          <xdr:cNvSpPr/>
        </xdr:nvSpPr>
        <xdr:spPr>
          <a:xfrm>
            <a:off x="9658348" y="6941449"/>
            <a:ext cx="2269333" cy="592827"/>
          </a:xfrm>
          <a:prstGeom prst="rect">
            <a:avLst/>
          </a:prstGeom>
          <a:solidFill>
            <a:srgbClr val="FFFF00"/>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黄色塗りつぶし・赤枠セル</a:t>
            </a:r>
            <a:r>
              <a:rPr kumimoji="1" lang="en-US" altLang="ja-JP" sz="1100">
                <a:solidFill>
                  <a:schemeClr val="tx1"/>
                </a:solidFill>
                <a:latin typeface="ＭＳ ゴシック" panose="020B0609070205080204" pitchFamily="49" charset="-128"/>
                <a:ea typeface="ＭＳ ゴシック" panose="020B0609070205080204" pitchFamily="49" charset="-128"/>
              </a:rPr>
              <a:t>】</a:t>
            </a: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1</a:t>
            </a:r>
            <a:r>
              <a:rPr kumimoji="1" lang="ja-JP" altLang="en-US" sz="1100">
                <a:solidFill>
                  <a:schemeClr val="tx1"/>
                </a:solidFill>
                <a:latin typeface="ＭＳ ゴシック" panose="020B0609070205080204" pitchFamily="49" charset="-128"/>
                <a:ea typeface="ＭＳ ゴシック" panose="020B0609070205080204" pitchFamily="49" charset="-128"/>
              </a:rPr>
              <a:t>回目契約を締結した後に入力</a:t>
            </a:r>
          </a:p>
        </xdr:txBody>
      </xdr:sp>
      <xdr:sp macro="" textlink="">
        <xdr:nvSpPr>
          <xdr:cNvPr id="18" name="正方形/長方形 17">
            <a:extLst>
              <a:ext uri="{FF2B5EF4-FFF2-40B4-BE49-F238E27FC236}">
                <a16:creationId xmlns:a16="http://schemas.microsoft.com/office/drawing/2014/main" id="{58302A3F-EF6F-4624-A84D-AD55ECBCC51B}"/>
              </a:ext>
            </a:extLst>
          </xdr:cNvPr>
          <xdr:cNvSpPr/>
        </xdr:nvSpPr>
        <xdr:spPr>
          <a:xfrm>
            <a:off x="9658348" y="6208024"/>
            <a:ext cx="2269333" cy="592827"/>
          </a:xfrm>
          <a:prstGeom prst="rect">
            <a:avLst/>
          </a:prstGeom>
          <a:solidFill>
            <a:srgbClr val="FFFF00"/>
          </a:solidFill>
          <a:ln w="381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黄色塗りつぶし・青枠セル</a:t>
            </a:r>
            <a:r>
              <a:rPr kumimoji="1" lang="en-US" altLang="ja-JP" sz="1100">
                <a:solidFill>
                  <a:schemeClr val="tx1"/>
                </a:solidFill>
                <a:latin typeface="ＭＳ ゴシック" panose="020B0609070205080204" pitchFamily="49" charset="-128"/>
                <a:ea typeface="ＭＳ ゴシック" panose="020B0609070205080204" pitchFamily="49" charset="-128"/>
              </a:rPr>
              <a:t>】</a:t>
            </a: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年目以降に前年度実績を入力</a:t>
            </a:r>
          </a:p>
        </xdr:txBody>
      </xdr:sp>
      <xdr:sp macro="" textlink="">
        <xdr:nvSpPr>
          <xdr:cNvPr id="19" name="正方形/長方形 18">
            <a:extLst>
              <a:ext uri="{FF2B5EF4-FFF2-40B4-BE49-F238E27FC236}">
                <a16:creationId xmlns:a16="http://schemas.microsoft.com/office/drawing/2014/main" id="{FB119D5C-2E00-4456-8640-25F239EB7A0C}"/>
              </a:ext>
            </a:extLst>
          </xdr:cNvPr>
          <xdr:cNvSpPr/>
        </xdr:nvSpPr>
        <xdr:spPr>
          <a:xfrm>
            <a:off x="12370592" y="6524729"/>
            <a:ext cx="2393158" cy="592827"/>
          </a:xfrm>
          <a:prstGeom prst="rect">
            <a:avLst/>
          </a:prstGeom>
          <a:solidFill>
            <a:srgbClr val="92D050"/>
          </a:solidFill>
          <a:ln w="38100">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変更契約時に要入力となるセルは</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黄緑色に変更となる</a:t>
            </a:r>
          </a:p>
        </xdr:txBody>
      </xdr:sp>
      <xdr:sp macro="" textlink="">
        <xdr:nvSpPr>
          <xdr:cNvPr id="20" name="右中かっこ 19">
            <a:extLst>
              <a:ext uri="{FF2B5EF4-FFF2-40B4-BE49-F238E27FC236}">
                <a16:creationId xmlns:a16="http://schemas.microsoft.com/office/drawing/2014/main" id="{F4A33F68-C541-4BA3-AF29-4ACD19136D3C}"/>
              </a:ext>
            </a:extLst>
          </xdr:cNvPr>
          <xdr:cNvSpPr/>
        </xdr:nvSpPr>
        <xdr:spPr>
          <a:xfrm>
            <a:off x="11894344" y="6036469"/>
            <a:ext cx="321468" cy="16668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12</xdr:col>
      <xdr:colOff>64292</xdr:colOff>
      <xdr:row>38</xdr:row>
      <xdr:rowOff>154782</xdr:rowOff>
    </xdr:from>
    <xdr:to>
      <xdr:col>18</xdr:col>
      <xdr:colOff>464343</xdr:colOff>
      <xdr:row>44</xdr:row>
      <xdr:rowOff>190500</xdr:rowOff>
    </xdr:to>
    <xdr:sp macro="" textlink="">
      <xdr:nvSpPr>
        <xdr:cNvPr id="2" name="正方形/長方形 1">
          <a:extLst>
            <a:ext uri="{FF2B5EF4-FFF2-40B4-BE49-F238E27FC236}">
              <a16:creationId xmlns:a16="http://schemas.microsoft.com/office/drawing/2014/main" id="{1887C4C7-FF3E-455B-8EBB-D5B62028DC5F}"/>
            </a:ext>
          </a:extLst>
        </xdr:cNvPr>
        <xdr:cNvSpPr/>
      </xdr:nvSpPr>
      <xdr:spPr>
        <a:xfrm>
          <a:off x="12494417" y="8084345"/>
          <a:ext cx="6615114" cy="1321593"/>
        </a:xfrm>
        <a:prstGeom prst="rect">
          <a:avLst/>
        </a:prstGeom>
        <a:solidFill>
          <a:srgbClr val="FF99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加配指導員数作成のルール</a:t>
          </a:r>
          <a:r>
            <a:rPr kumimoji="1" lang="en-US" altLang="ja-JP" sz="1100">
              <a:solidFill>
                <a:schemeClr val="tx1"/>
              </a:solidFill>
              <a:latin typeface="ＭＳ ゴシック" panose="020B0609070205080204" pitchFamily="49" charset="-128"/>
              <a:ea typeface="ＭＳ ゴシック" panose="020B0609070205080204" pitchFamily="49" charset="-128"/>
            </a:rPr>
            <a:t>】</a:t>
          </a: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①当初契約にあたり見積書を作成する際は、契約期間において毎年同数を入力する。</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　（</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措置した予算額＝仕様書に記載した支援単位数・加配指導員数　を入力する）</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②毎年要求する当初予算要求の査定結果を、当該要求年度に限り、加配指導員数のセルに反映させる。</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　（</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当初契約にあたり入力済みの加配指導員数のセルは修正しない）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③</a:t>
          </a:r>
          <a:r>
            <a:rPr kumimoji="1" lang="en-US" altLang="ja-JP" sz="1100">
              <a:solidFill>
                <a:schemeClr val="tx1"/>
              </a:solidFill>
              <a:latin typeface="ＭＳ ゴシック" panose="020B0609070205080204" pitchFamily="49" charset="-128"/>
              <a:ea typeface="ＭＳ ゴシック" panose="020B0609070205080204" pitchFamily="49" charset="-128"/>
            </a:rPr>
            <a:t>4</a:t>
          </a:r>
          <a:r>
            <a:rPr kumimoji="1" lang="ja-JP" altLang="en-US" sz="1100">
              <a:solidFill>
                <a:schemeClr val="tx1"/>
              </a:solidFill>
              <a:latin typeface="ＭＳ ゴシック" panose="020B0609070205080204" pitchFamily="49" charset="-128"/>
              <a:ea typeface="ＭＳ ゴシック" panose="020B0609070205080204" pitchFamily="49" charset="-128"/>
            </a:rPr>
            <a:t>月</a:t>
          </a:r>
          <a:r>
            <a:rPr kumimoji="1" lang="en-US" altLang="ja-JP" sz="1100">
              <a:solidFill>
                <a:schemeClr val="tx1"/>
              </a:solidFill>
              <a:latin typeface="ＭＳ ゴシック" panose="020B0609070205080204" pitchFamily="49" charset="-128"/>
              <a:ea typeface="ＭＳ ゴシック" panose="020B0609070205080204" pitchFamily="49" charset="-128"/>
            </a:rPr>
            <a:t>1</a:t>
          </a:r>
          <a:r>
            <a:rPr kumimoji="1" lang="ja-JP" altLang="en-US" sz="1100">
              <a:solidFill>
                <a:schemeClr val="tx1"/>
              </a:solidFill>
              <a:latin typeface="ＭＳ ゴシック" panose="020B0609070205080204" pitchFamily="49" charset="-128"/>
              <a:ea typeface="ＭＳ ゴシック" panose="020B0609070205080204" pitchFamily="49" charset="-128"/>
            </a:rPr>
            <a:t>日変更契約にあたり、</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実績</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に前年度支出額を入力する。</a:t>
          </a:r>
        </a:p>
      </xdr:txBody>
    </xdr:sp>
    <xdr:clientData/>
  </xdr:twoCellAnchor>
  <xdr:twoCellAnchor>
    <xdr:from>
      <xdr:col>3</xdr:col>
      <xdr:colOff>107154</xdr:colOff>
      <xdr:row>9</xdr:row>
      <xdr:rowOff>11907</xdr:rowOff>
    </xdr:from>
    <xdr:to>
      <xdr:col>5</xdr:col>
      <xdr:colOff>534938</xdr:colOff>
      <xdr:row>14</xdr:row>
      <xdr:rowOff>59531</xdr:rowOff>
    </xdr:to>
    <xdr:grpSp>
      <xdr:nvGrpSpPr>
        <xdr:cNvPr id="4" name="グループ化 3">
          <a:extLst>
            <a:ext uri="{FF2B5EF4-FFF2-40B4-BE49-F238E27FC236}">
              <a16:creationId xmlns:a16="http://schemas.microsoft.com/office/drawing/2014/main" id="{0CAE59D3-A2B0-4A95-90E1-0EA3DD5D93F5}"/>
            </a:ext>
          </a:extLst>
        </xdr:cNvPr>
        <xdr:cNvGrpSpPr/>
      </xdr:nvGrpSpPr>
      <xdr:grpSpPr>
        <a:xfrm>
          <a:off x="3233595" y="1928113"/>
          <a:ext cx="2512078" cy="1112183"/>
          <a:chOff x="2550317" y="1639315"/>
          <a:chExt cx="2497931" cy="785058"/>
        </a:xfrm>
      </xdr:grpSpPr>
      <xdr:sp macro="" textlink="">
        <xdr:nvSpPr>
          <xdr:cNvPr id="3" name="正方形/長方形 2">
            <a:extLst>
              <a:ext uri="{FF2B5EF4-FFF2-40B4-BE49-F238E27FC236}">
                <a16:creationId xmlns:a16="http://schemas.microsoft.com/office/drawing/2014/main" id="{BF6007AE-CADC-4AC2-9246-A8F230BD23AF}"/>
              </a:ext>
            </a:extLst>
          </xdr:cNvPr>
          <xdr:cNvSpPr/>
        </xdr:nvSpPr>
        <xdr:spPr>
          <a:xfrm>
            <a:off x="2550317" y="2052639"/>
            <a:ext cx="2497931" cy="371734"/>
          </a:xfrm>
          <a:prstGeom prst="rect">
            <a:avLst/>
          </a:prstGeom>
          <a:solidFill>
            <a:srgbClr val="FF99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契約</a:t>
            </a:r>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年目以降の見積書作成時に</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前年度実績を確認の上入力すること。</a:t>
            </a:r>
          </a:p>
        </xdr:txBody>
      </xdr:sp>
      <xdr:cxnSp macro="">
        <xdr:nvCxnSpPr>
          <xdr:cNvPr id="6" name="直線矢印コネクタ 5">
            <a:extLst>
              <a:ext uri="{FF2B5EF4-FFF2-40B4-BE49-F238E27FC236}">
                <a16:creationId xmlns:a16="http://schemas.microsoft.com/office/drawing/2014/main" id="{5EB6A551-6CD2-4867-83B1-819A64BDC932}"/>
              </a:ext>
            </a:extLst>
          </xdr:cNvPr>
          <xdr:cNvCxnSpPr/>
        </xdr:nvCxnSpPr>
        <xdr:spPr>
          <a:xfrm flipV="1">
            <a:off x="4022137" y="1639315"/>
            <a:ext cx="333376" cy="4191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47625</xdr:colOff>
      <xdr:row>67</xdr:row>
      <xdr:rowOff>99333</xdr:rowOff>
    </xdr:from>
    <xdr:to>
      <xdr:col>29</xdr:col>
      <xdr:colOff>102634</xdr:colOff>
      <xdr:row>75</xdr:row>
      <xdr:rowOff>104775</xdr:rowOff>
    </xdr:to>
    <xdr:sp macro="" textlink="">
      <xdr:nvSpPr>
        <xdr:cNvPr id="2" name="テキスト ボックス 1">
          <a:extLst>
            <a:ext uri="{FF2B5EF4-FFF2-40B4-BE49-F238E27FC236}">
              <a16:creationId xmlns:a16="http://schemas.microsoft.com/office/drawing/2014/main" id="{7433CF8B-DBB2-463F-A907-63D36DE576E2}"/>
            </a:ext>
          </a:extLst>
        </xdr:cNvPr>
        <xdr:cNvSpPr txBox="1"/>
      </xdr:nvSpPr>
      <xdr:spPr>
        <a:xfrm>
          <a:off x="6677025" y="12358008"/>
          <a:ext cx="3264934" cy="1453242"/>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wrap="square" rtlCol="0" anchor="ctr"/>
        <a:lstStyle/>
        <a:p>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長期休業日について</a:t>
          </a:r>
          <a:r>
            <a:rPr kumimoji="1" lang="en-US" altLang="ja-JP" sz="1000" b="1">
              <a:latin typeface="Meiryo UI" panose="020B0604030504040204" pitchFamily="50" charset="-128"/>
              <a:ea typeface="Meiryo UI" panose="020B0604030504040204" pitchFamily="50" charset="-128"/>
            </a:rPr>
            <a:t>】</a:t>
          </a:r>
        </a:p>
        <a:p>
          <a:r>
            <a:rPr lang="ja-JP" altLang="ja-JP" sz="1000">
              <a:solidFill>
                <a:schemeClr val="dk1"/>
              </a:solidFill>
              <a:effectLst/>
              <a:latin typeface="Meiryo UI" panose="020B0604030504040204" pitchFamily="50" charset="-128"/>
              <a:ea typeface="Meiryo UI" panose="020B0604030504040204" pitchFamily="50" charset="-128"/>
              <a:cs typeface="+mn-cs"/>
            </a:rPr>
            <a:t>堺市立学校管理運営規則</a:t>
          </a:r>
          <a:r>
            <a:rPr lang="ja-JP" altLang="en-US" sz="1000">
              <a:solidFill>
                <a:schemeClr val="dk1"/>
              </a:solidFill>
              <a:effectLst/>
              <a:latin typeface="Meiryo UI" panose="020B0604030504040204" pitchFamily="50" charset="-128"/>
              <a:ea typeface="Meiryo UI" panose="020B0604030504040204" pitchFamily="50" charset="-128"/>
              <a:cs typeface="+mn-cs"/>
            </a:rPr>
            <a:t>にて下記のとおり定められている</a:t>
          </a:r>
          <a:endParaRPr lang="en-US" altLang="ja-JP" sz="10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000">
            <a:latin typeface="Meiryo UI" panose="020B0604030504040204" pitchFamily="50" charset="-128"/>
            <a:ea typeface="Meiryo UI" panose="020B0604030504040204" pitchFamily="50" charset="-128"/>
          </a:endParaRPr>
        </a:p>
        <a:p>
          <a:r>
            <a:rPr lang="ja-JP" altLang="ja-JP" sz="1000">
              <a:solidFill>
                <a:schemeClr val="dk1"/>
              </a:solidFill>
              <a:effectLst/>
              <a:latin typeface="Meiryo UI" panose="020B0604030504040204" pitchFamily="50" charset="-128"/>
              <a:ea typeface="Meiryo UI" panose="020B0604030504040204" pitchFamily="50" charset="-128"/>
              <a:cs typeface="+mn-cs"/>
            </a:rPr>
            <a:t>夏季休業日　</a:t>
          </a:r>
          <a:r>
            <a:rPr lang="en-US" altLang="ja-JP" sz="1000">
              <a:solidFill>
                <a:schemeClr val="dk1"/>
              </a:solidFill>
              <a:effectLst/>
              <a:latin typeface="Meiryo UI" panose="020B0604030504040204" pitchFamily="50" charset="-128"/>
              <a:ea typeface="Meiryo UI" panose="020B0604030504040204" pitchFamily="50" charset="-128"/>
              <a:cs typeface="+mn-cs"/>
            </a:rPr>
            <a:t>7</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21</a:t>
          </a:r>
          <a:r>
            <a:rPr lang="ja-JP" altLang="ja-JP" sz="1000">
              <a:solidFill>
                <a:schemeClr val="dk1"/>
              </a:solidFill>
              <a:effectLst/>
              <a:latin typeface="Meiryo UI" panose="020B0604030504040204" pitchFamily="50" charset="-128"/>
              <a:ea typeface="Meiryo UI" panose="020B0604030504040204" pitchFamily="50" charset="-128"/>
              <a:cs typeface="+mn-cs"/>
            </a:rPr>
            <a:t>日から</a:t>
          </a:r>
          <a:r>
            <a:rPr lang="en-US" altLang="ja-JP" sz="1000">
              <a:solidFill>
                <a:schemeClr val="dk1"/>
              </a:solidFill>
              <a:effectLst/>
              <a:latin typeface="Meiryo UI" panose="020B0604030504040204" pitchFamily="50" charset="-128"/>
              <a:ea typeface="Meiryo UI" panose="020B0604030504040204" pitchFamily="50" charset="-128"/>
              <a:cs typeface="+mn-cs"/>
            </a:rPr>
            <a:t>8</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24</a:t>
          </a:r>
          <a:r>
            <a:rPr lang="ja-JP" altLang="ja-JP" sz="1000">
              <a:solidFill>
                <a:schemeClr val="dk1"/>
              </a:solidFill>
              <a:effectLst/>
              <a:latin typeface="Meiryo UI" panose="020B0604030504040204" pitchFamily="50" charset="-128"/>
              <a:ea typeface="Meiryo UI" panose="020B0604030504040204" pitchFamily="50" charset="-128"/>
              <a:cs typeface="+mn-cs"/>
            </a:rPr>
            <a:t>日まで</a:t>
          </a:r>
        </a:p>
        <a:p>
          <a:r>
            <a:rPr lang="ja-JP" altLang="ja-JP" sz="1000">
              <a:solidFill>
                <a:schemeClr val="dk1"/>
              </a:solidFill>
              <a:effectLst/>
              <a:latin typeface="Meiryo UI" panose="020B0604030504040204" pitchFamily="50" charset="-128"/>
              <a:ea typeface="Meiryo UI" panose="020B0604030504040204" pitchFamily="50" charset="-128"/>
              <a:cs typeface="+mn-cs"/>
            </a:rPr>
            <a:t>冬季休業日　</a:t>
          </a:r>
          <a:r>
            <a:rPr lang="en-US" altLang="ja-JP" sz="1000">
              <a:solidFill>
                <a:schemeClr val="dk1"/>
              </a:solidFill>
              <a:effectLst/>
              <a:latin typeface="Meiryo UI" panose="020B0604030504040204" pitchFamily="50" charset="-128"/>
              <a:ea typeface="Meiryo UI" panose="020B0604030504040204" pitchFamily="50" charset="-128"/>
              <a:cs typeface="+mn-cs"/>
            </a:rPr>
            <a:t>12</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25</a:t>
          </a:r>
          <a:r>
            <a:rPr lang="ja-JP" altLang="ja-JP" sz="1000">
              <a:solidFill>
                <a:schemeClr val="dk1"/>
              </a:solidFill>
              <a:effectLst/>
              <a:latin typeface="Meiryo UI" panose="020B0604030504040204" pitchFamily="50" charset="-128"/>
              <a:ea typeface="Meiryo UI" panose="020B0604030504040204" pitchFamily="50" charset="-128"/>
              <a:cs typeface="+mn-cs"/>
            </a:rPr>
            <a:t>日から翌年の</a:t>
          </a:r>
          <a:r>
            <a:rPr lang="en-US" altLang="ja-JP" sz="1000">
              <a:solidFill>
                <a:schemeClr val="dk1"/>
              </a:solidFill>
              <a:effectLst/>
              <a:latin typeface="Meiryo UI" panose="020B0604030504040204" pitchFamily="50" charset="-128"/>
              <a:ea typeface="Meiryo UI" panose="020B0604030504040204" pitchFamily="50" charset="-128"/>
              <a:cs typeface="+mn-cs"/>
            </a:rPr>
            <a:t>1</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7</a:t>
          </a:r>
          <a:r>
            <a:rPr lang="ja-JP" altLang="ja-JP" sz="1000">
              <a:solidFill>
                <a:schemeClr val="dk1"/>
              </a:solidFill>
              <a:effectLst/>
              <a:latin typeface="Meiryo UI" panose="020B0604030504040204" pitchFamily="50" charset="-128"/>
              <a:ea typeface="Meiryo UI" panose="020B0604030504040204" pitchFamily="50" charset="-128"/>
              <a:cs typeface="+mn-cs"/>
            </a:rPr>
            <a:t>日まで</a:t>
          </a:r>
        </a:p>
        <a:p>
          <a:r>
            <a:rPr lang="ja-JP" altLang="ja-JP" sz="1000">
              <a:solidFill>
                <a:schemeClr val="dk1"/>
              </a:solidFill>
              <a:effectLst/>
              <a:latin typeface="Meiryo UI" panose="020B0604030504040204" pitchFamily="50" charset="-128"/>
              <a:ea typeface="Meiryo UI" panose="020B0604030504040204" pitchFamily="50" charset="-128"/>
              <a:cs typeface="+mn-cs"/>
            </a:rPr>
            <a:t>春季休業日　</a:t>
          </a:r>
          <a:r>
            <a:rPr lang="en-US" altLang="ja-JP" sz="1000">
              <a:solidFill>
                <a:schemeClr val="dk1"/>
              </a:solidFill>
              <a:effectLst/>
              <a:latin typeface="Meiryo UI" panose="020B0604030504040204" pitchFamily="50" charset="-128"/>
              <a:ea typeface="Meiryo UI" panose="020B0604030504040204" pitchFamily="50" charset="-128"/>
              <a:cs typeface="+mn-cs"/>
            </a:rPr>
            <a:t>3</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25</a:t>
          </a:r>
          <a:r>
            <a:rPr lang="ja-JP" altLang="ja-JP" sz="1000">
              <a:solidFill>
                <a:schemeClr val="dk1"/>
              </a:solidFill>
              <a:effectLst/>
              <a:latin typeface="Meiryo UI" panose="020B0604030504040204" pitchFamily="50" charset="-128"/>
              <a:ea typeface="Meiryo UI" panose="020B0604030504040204" pitchFamily="50" charset="-128"/>
              <a:cs typeface="+mn-cs"/>
            </a:rPr>
            <a:t>日から</a:t>
          </a:r>
          <a:r>
            <a:rPr lang="en-US" altLang="ja-JP" sz="1000">
              <a:solidFill>
                <a:schemeClr val="dk1"/>
              </a:solidFill>
              <a:effectLst/>
              <a:latin typeface="Meiryo UI" panose="020B0604030504040204" pitchFamily="50" charset="-128"/>
              <a:ea typeface="Meiryo UI" panose="020B0604030504040204" pitchFamily="50" charset="-128"/>
              <a:cs typeface="+mn-cs"/>
            </a:rPr>
            <a:t>4</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7</a:t>
          </a:r>
          <a:r>
            <a:rPr lang="ja-JP" altLang="ja-JP" sz="1000">
              <a:solidFill>
                <a:schemeClr val="dk1"/>
              </a:solidFill>
              <a:effectLst/>
              <a:latin typeface="Meiryo UI" panose="020B0604030504040204" pitchFamily="50" charset="-128"/>
              <a:ea typeface="Meiryo UI" panose="020B0604030504040204" pitchFamily="50" charset="-128"/>
              <a:cs typeface="+mn-cs"/>
            </a:rPr>
            <a:t>日まで</a:t>
          </a:r>
          <a:endParaRPr kumimoji="1" lang="ja-JP" altLang="en-US" sz="1000">
            <a:latin typeface="Meiryo UI" panose="020B0604030504040204" pitchFamily="50" charset="-128"/>
            <a:ea typeface="Meiryo UI" panose="020B0604030504040204" pitchFamily="50" charset="-128"/>
          </a:endParaRPr>
        </a:p>
      </xdr:txBody>
    </xdr:sp>
    <xdr:clientData/>
  </xdr:twoCellAnchor>
  <xdr:twoCellAnchor>
    <xdr:from>
      <xdr:col>10</xdr:col>
      <xdr:colOff>50006</xdr:colOff>
      <xdr:row>67</xdr:row>
      <xdr:rowOff>95249</xdr:rowOff>
    </xdr:from>
    <xdr:to>
      <xdr:col>21</xdr:col>
      <xdr:colOff>266701</xdr:colOff>
      <xdr:row>81</xdr:row>
      <xdr:rowOff>19049</xdr:rowOff>
    </xdr:to>
    <xdr:sp macro="" textlink="">
      <xdr:nvSpPr>
        <xdr:cNvPr id="3" name="テキスト ボックス 2">
          <a:extLst>
            <a:ext uri="{FF2B5EF4-FFF2-40B4-BE49-F238E27FC236}">
              <a16:creationId xmlns:a16="http://schemas.microsoft.com/office/drawing/2014/main" id="{2BA11D6C-25CF-4868-99D5-64DFBD4BA5EC}"/>
            </a:ext>
          </a:extLst>
        </xdr:cNvPr>
        <xdr:cNvSpPr txBox="1"/>
      </xdr:nvSpPr>
      <xdr:spPr>
        <a:xfrm>
          <a:off x="3364706" y="12353924"/>
          <a:ext cx="3255170" cy="2457450"/>
        </a:xfrm>
        <a:prstGeom prst="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wrap="square" rtlCol="0" anchor="ctr"/>
        <a:lstStyle/>
        <a:p>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短縮対象日について</a:t>
          </a:r>
          <a:r>
            <a:rPr kumimoji="1" lang="en-US" altLang="ja-JP" sz="1000" b="1">
              <a:latin typeface="Meiryo UI" panose="020B0604030504040204" pitchFamily="50" charset="-128"/>
              <a:ea typeface="Meiryo UI" panose="020B0604030504040204" pitchFamily="50" charset="-128"/>
            </a:rPr>
            <a:t>】</a:t>
          </a:r>
        </a:p>
        <a:p>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a:t>
          </a:r>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学期）始業式から</a:t>
          </a:r>
          <a:r>
            <a:rPr kumimoji="1" lang="en-US" altLang="ja-JP" sz="1000">
              <a:latin typeface="Meiryo UI" panose="020B0604030504040204" pitchFamily="50" charset="-128"/>
              <a:ea typeface="Meiryo UI" panose="020B0604030504040204" pitchFamily="50" charset="-128"/>
            </a:rPr>
            <a:t>5</a:t>
          </a:r>
          <a:r>
            <a:rPr kumimoji="1" lang="ja-JP" altLang="en-US" sz="1000">
              <a:latin typeface="Meiryo UI" panose="020B0604030504040204" pitchFamily="50" charset="-128"/>
              <a:ea typeface="Meiryo UI" panose="020B0604030504040204" pitchFamily="50" charset="-128"/>
            </a:rPr>
            <a:t>日間と終業式の日</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始業式の</a:t>
          </a:r>
          <a:r>
            <a:rPr kumimoji="1" lang="en-US" altLang="ja-JP" sz="1000">
              <a:latin typeface="Meiryo UI" panose="020B0604030504040204" pitchFamily="50" charset="-128"/>
              <a:ea typeface="Meiryo UI" panose="020B0604030504040204" pitchFamily="50" charset="-128"/>
            </a:rPr>
            <a:t>3</a:t>
          </a:r>
          <a:r>
            <a:rPr kumimoji="1" lang="ja-JP" altLang="en-US" sz="1000">
              <a:latin typeface="Meiryo UI" panose="020B0604030504040204" pitchFamily="50" charset="-128"/>
              <a:ea typeface="Meiryo UI" panose="020B0604030504040204" pitchFamily="50" charset="-128"/>
            </a:rPr>
            <a:t>日後から終業式の前日まで給食実施。</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年生は</a:t>
          </a:r>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週間以内くらい</a:t>
          </a:r>
          <a:endParaRPr kumimoji="1" lang="en-US" altLang="ja-JP" sz="1000">
            <a:latin typeface="Meiryo UI" panose="020B0604030504040204" pitchFamily="50" charset="-128"/>
            <a:ea typeface="Meiryo UI" panose="020B0604030504040204" pitchFamily="50" charset="-128"/>
          </a:endParaRPr>
        </a:p>
        <a:p>
          <a:endParaRPr kumimoji="1" lang="ja-JP" altLang="en-US" sz="1000">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latin typeface="Meiryo UI" panose="020B0604030504040204" pitchFamily="50" charset="-128"/>
              <a:ea typeface="Meiryo UI" panose="020B0604030504040204" pitchFamily="50" charset="-128"/>
            </a:rPr>
            <a:t>（</a:t>
          </a:r>
          <a:r>
            <a:rPr kumimoji="1" lang="en-US" altLang="ja-JP" sz="1000">
              <a:latin typeface="Meiryo UI" panose="020B0604030504040204" pitchFamily="50" charset="-128"/>
              <a:ea typeface="Meiryo UI" panose="020B0604030504040204" pitchFamily="50" charset="-128"/>
            </a:rPr>
            <a:t>2,3</a:t>
          </a:r>
          <a:r>
            <a:rPr kumimoji="1" lang="ja-JP" altLang="en-US" sz="1000">
              <a:latin typeface="Meiryo UI" panose="020B0604030504040204" pitchFamily="50" charset="-128"/>
              <a:ea typeface="Meiryo UI" panose="020B0604030504040204" pitchFamily="50" charset="-128"/>
            </a:rPr>
            <a:t>学期）</a:t>
          </a:r>
          <a:r>
            <a:rPr kumimoji="1" lang="ja-JP" altLang="ja-JP" sz="1000">
              <a:solidFill>
                <a:schemeClr val="dk1"/>
              </a:solidFill>
              <a:effectLst/>
              <a:latin typeface="Meiryo UI" panose="020B0604030504040204" pitchFamily="50" charset="-128"/>
              <a:ea typeface="Meiryo UI" panose="020B0604030504040204" pitchFamily="50" charset="-128"/>
              <a:cs typeface="+mn-cs"/>
            </a:rPr>
            <a:t>始業式から</a:t>
          </a:r>
          <a:r>
            <a:rPr kumimoji="1" lang="en-US" altLang="ja-JP" sz="1000">
              <a:solidFill>
                <a:schemeClr val="dk1"/>
              </a:solidFill>
              <a:effectLst/>
              <a:latin typeface="Meiryo UI" panose="020B0604030504040204" pitchFamily="50" charset="-128"/>
              <a:ea typeface="Meiryo UI" panose="020B0604030504040204" pitchFamily="50" charset="-128"/>
              <a:cs typeface="+mn-cs"/>
            </a:rPr>
            <a:t>2</a:t>
          </a:r>
          <a:r>
            <a:rPr kumimoji="1" lang="ja-JP" altLang="ja-JP" sz="1000">
              <a:solidFill>
                <a:schemeClr val="dk1"/>
              </a:solidFill>
              <a:effectLst/>
              <a:latin typeface="Meiryo UI" panose="020B0604030504040204" pitchFamily="50" charset="-128"/>
              <a:ea typeface="Meiryo UI" panose="020B0604030504040204" pitchFamily="50" charset="-128"/>
              <a:cs typeface="+mn-cs"/>
            </a:rPr>
            <a:t>日間と終業式</a:t>
          </a:r>
          <a:r>
            <a:rPr kumimoji="1" lang="ja-JP" altLang="en-US" sz="1000">
              <a:solidFill>
                <a:schemeClr val="dk1"/>
              </a:solidFill>
              <a:effectLst/>
              <a:latin typeface="Meiryo UI" panose="020B0604030504040204" pitchFamily="50" charset="-128"/>
              <a:ea typeface="Meiryo UI" panose="020B0604030504040204" pitchFamily="50" charset="-128"/>
              <a:cs typeface="+mn-cs"/>
            </a:rPr>
            <a:t>・卒業式</a:t>
          </a:r>
          <a:r>
            <a:rPr kumimoji="1" lang="ja-JP" altLang="ja-JP" sz="1000">
              <a:solidFill>
                <a:schemeClr val="dk1"/>
              </a:solidFill>
              <a:effectLst/>
              <a:latin typeface="Meiryo UI" panose="020B0604030504040204" pitchFamily="50" charset="-128"/>
              <a:ea typeface="Meiryo UI" panose="020B0604030504040204" pitchFamily="50" charset="-128"/>
              <a:cs typeface="+mn-cs"/>
            </a:rPr>
            <a:t>の日</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始業式の</a:t>
          </a:r>
          <a:r>
            <a:rPr kumimoji="1" lang="en-US" altLang="ja-JP" sz="1000">
              <a:latin typeface="Meiryo UI" panose="020B0604030504040204" pitchFamily="50" charset="-128"/>
              <a:ea typeface="Meiryo UI" panose="020B0604030504040204" pitchFamily="50" charset="-128"/>
            </a:rPr>
            <a:t>2</a:t>
          </a:r>
          <a:r>
            <a:rPr kumimoji="1" lang="ja-JP" altLang="en-US" sz="1000">
              <a:latin typeface="Meiryo UI" panose="020B0604030504040204" pitchFamily="50" charset="-128"/>
              <a:ea typeface="Meiryo UI" panose="020B0604030504040204" pitchFamily="50" charset="-128"/>
            </a:rPr>
            <a:t>日後から終業式の前日まで給食実施</a:t>
          </a:r>
        </a:p>
        <a:p>
          <a:endParaRPr kumimoji="1" lang="ja-JP" altLang="en-US"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上記内容は学校給食課に確認</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　 ただし、あくまで目安で学校による</a:t>
          </a:r>
        </a:p>
      </xdr:txBody>
    </xdr:sp>
    <xdr:clientData/>
  </xdr:twoCellAnchor>
  <xdr:twoCellAnchor>
    <xdr:from>
      <xdr:col>0</xdr:col>
      <xdr:colOff>50006</xdr:colOff>
      <xdr:row>67</xdr:row>
      <xdr:rowOff>76199</xdr:rowOff>
    </xdr:from>
    <xdr:to>
      <xdr:col>9</xdr:col>
      <xdr:colOff>266701</xdr:colOff>
      <xdr:row>75</xdr:row>
      <xdr:rowOff>47625</xdr:rowOff>
    </xdr:to>
    <xdr:sp macro="" textlink="">
      <xdr:nvSpPr>
        <xdr:cNvPr id="4" name="テキスト ボックス 3">
          <a:extLst>
            <a:ext uri="{FF2B5EF4-FFF2-40B4-BE49-F238E27FC236}">
              <a16:creationId xmlns:a16="http://schemas.microsoft.com/office/drawing/2014/main" id="{70D5027F-CF1D-4BEE-874D-E541722789FE}"/>
            </a:ext>
          </a:extLst>
        </xdr:cNvPr>
        <xdr:cNvSpPr txBox="1"/>
      </xdr:nvSpPr>
      <xdr:spPr>
        <a:xfrm>
          <a:off x="50006" y="12334874"/>
          <a:ext cx="3255170" cy="1419226"/>
        </a:xfrm>
        <a:prstGeom prst="rect">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ctr"/>
        <a:lstStyle/>
        <a:p>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作成方法</a:t>
          </a:r>
          <a:r>
            <a:rPr kumimoji="1" lang="en-US" altLang="ja-JP" sz="1000" b="1">
              <a:latin typeface="Meiryo UI" panose="020B0604030504040204" pitchFamily="50" charset="-128"/>
              <a:ea typeface="Meiryo UI" panose="020B0604030504040204" pitchFamily="50" charset="-128"/>
            </a:rPr>
            <a:t>】</a:t>
          </a:r>
        </a:p>
        <a:p>
          <a:r>
            <a:rPr kumimoji="1" lang="ja-JP" altLang="en-US" sz="1000">
              <a:latin typeface="Meiryo UI" panose="020B0604030504040204" pitchFamily="50" charset="-128"/>
              <a:ea typeface="Meiryo UI" panose="020B0604030504040204" pitchFamily="50" charset="-128"/>
            </a:rPr>
            <a:t>①</a:t>
          </a:r>
          <a:r>
            <a:rPr kumimoji="1" lang="en-US" altLang="ja-JP" sz="1000">
              <a:latin typeface="Meiryo UI" panose="020B0604030504040204" pitchFamily="50" charset="-128"/>
              <a:ea typeface="Meiryo UI" panose="020B0604030504040204" pitchFamily="50" charset="-128"/>
            </a:rPr>
            <a:t>A1</a:t>
          </a:r>
          <a:r>
            <a:rPr kumimoji="1" lang="ja-JP" altLang="en-US" sz="1000">
              <a:latin typeface="Meiryo UI" panose="020B0604030504040204" pitchFamily="50" charset="-128"/>
              <a:ea typeface="Meiryo UI" panose="020B0604030504040204" pitchFamily="50" charset="-128"/>
            </a:rPr>
            <a:t>セル（西暦）を入力</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②</a:t>
          </a:r>
          <a:r>
            <a:rPr kumimoji="1" lang="en-US" altLang="ja-JP" sz="1000">
              <a:latin typeface="Meiryo UI" panose="020B0604030504040204" pitchFamily="50" charset="-128"/>
              <a:ea typeface="Meiryo UI" panose="020B0604030504040204" pitchFamily="50" charset="-128"/>
            </a:rPr>
            <a:t>C44</a:t>
          </a:r>
          <a:r>
            <a:rPr kumimoji="1" lang="ja-JP" altLang="en-US" sz="1000">
              <a:latin typeface="Meiryo UI" panose="020B0604030504040204" pitchFamily="50" charset="-128"/>
              <a:ea typeface="Meiryo UI" panose="020B0604030504040204" pitchFamily="50" charset="-128"/>
            </a:rPr>
            <a:t>セル等（黄色セル・祝日）を入力</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③</a:t>
          </a:r>
          <a:r>
            <a:rPr kumimoji="1" lang="en-US" altLang="ja-JP" sz="1000">
              <a:latin typeface="Meiryo UI" panose="020B0604030504040204" pitchFamily="50" charset="-128"/>
              <a:ea typeface="Meiryo UI" panose="020B0604030504040204" pitchFamily="50" charset="-128"/>
            </a:rPr>
            <a:t>C56</a:t>
          </a:r>
          <a:r>
            <a:rPr kumimoji="1" lang="ja-JP" altLang="en-US" sz="1000">
              <a:latin typeface="Meiryo UI" panose="020B0604030504040204" pitchFamily="50" charset="-128"/>
              <a:ea typeface="Meiryo UI" panose="020B0604030504040204" pitchFamily="50" charset="-128"/>
            </a:rPr>
            <a:t>セル等（緑セル・短縮）を入力</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④</a:t>
          </a:r>
          <a:r>
            <a:rPr kumimoji="1" lang="en-US" altLang="ja-JP" sz="1000">
              <a:latin typeface="Meiryo UI" panose="020B0604030504040204" pitchFamily="50" charset="-128"/>
              <a:ea typeface="Meiryo UI" panose="020B0604030504040204" pitchFamily="50" charset="-128"/>
            </a:rPr>
            <a:t>D44</a:t>
          </a:r>
          <a:r>
            <a:rPr kumimoji="1" lang="ja-JP" altLang="en-US" sz="1000">
              <a:latin typeface="Meiryo UI" panose="020B0604030504040204" pitchFamily="50" charset="-128"/>
              <a:ea typeface="Meiryo UI" panose="020B0604030504040204" pitchFamily="50" charset="-128"/>
            </a:rPr>
            <a:t>セル等（黄緑セル・長期休業）変更がないか確認</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以上の作業により、左表は完成する</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A4477-3464-4349-A67D-1C2EAE444987}">
  <sheetPr codeName="Sheet1"/>
  <dimension ref="A1:G28"/>
  <sheetViews>
    <sheetView showGridLines="0" zoomScaleNormal="100" zoomScaleSheetLayoutView="100" workbookViewId="0">
      <selection activeCell="A9" sqref="A9:B10"/>
    </sheetView>
  </sheetViews>
  <sheetFormatPr defaultRowHeight="13.5" customHeight="1"/>
  <cols>
    <col min="1" max="1" width="4.375" style="330" customWidth="1"/>
    <col min="2" max="2" width="8.5" style="330" bestFit="1" customWidth="1"/>
    <col min="3" max="3" width="12.25" style="330" bestFit="1" customWidth="1"/>
    <col min="4" max="4" width="7.125" style="330" bestFit="1" customWidth="1"/>
    <col min="5" max="5" width="12.25" style="330" bestFit="1" customWidth="1"/>
    <col min="6" max="6" width="7.125" style="330" bestFit="1" customWidth="1"/>
    <col min="7" max="7" width="98.75" style="330" customWidth="1"/>
    <col min="8" max="8" width="10.25" style="330" bestFit="1" customWidth="1"/>
    <col min="9" max="16384" width="9" style="330"/>
  </cols>
  <sheetData>
    <row r="1" spans="1:7" ht="14.25">
      <c r="A1" s="338" t="s">
        <v>142</v>
      </c>
    </row>
    <row r="3" spans="1:7" ht="13.5" customHeight="1">
      <c r="A3" s="330" t="s">
        <v>159</v>
      </c>
    </row>
    <row r="4" spans="1:7" ht="13.5" customHeight="1">
      <c r="A4" s="330" t="s">
        <v>143</v>
      </c>
    </row>
    <row r="5" spans="1:7" ht="13.5" customHeight="1">
      <c r="A5" s="330" t="s">
        <v>148</v>
      </c>
    </row>
    <row r="6" spans="1:7" ht="13.5" customHeight="1">
      <c r="A6" s="330" t="s">
        <v>145</v>
      </c>
    </row>
    <row r="8" spans="1:7" ht="13.5" customHeight="1" thickBot="1">
      <c r="A8" s="330" t="s">
        <v>144</v>
      </c>
    </row>
    <row r="9" spans="1:7" ht="13.5" customHeight="1">
      <c r="A9" s="393"/>
      <c r="B9" s="394"/>
      <c r="C9" s="418" t="s">
        <v>75</v>
      </c>
      <c r="D9" s="419"/>
      <c r="E9" s="419" t="s">
        <v>76</v>
      </c>
      <c r="F9" s="419"/>
      <c r="G9" s="414" t="s">
        <v>130</v>
      </c>
    </row>
    <row r="10" spans="1:7" ht="13.5" customHeight="1" thickBot="1">
      <c r="A10" s="395"/>
      <c r="B10" s="396"/>
      <c r="C10" s="339" t="s">
        <v>124</v>
      </c>
      <c r="D10" s="340" t="s">
        <v>125</v>
      </c>
      <c r="E10" s="340" t="s">
        <v>124</v>
      </c>
      <c r="F10" s="340" t="s">
        <v>125</v>
      </c>
      <c r="G10" s="415"/>
    </row>
    <row r="11" spans="1:7" ht="13.5" customHeight="1">
      <c r="A11" s="384" t="s">
        <v>134</v>
      </c>
      <c r="B11" s="411" t="s">
        <v>119</v>
      </c>
      <c r="C11" s="417" t="s">
        <v>126</v>
      </c>
      <c r="D11" s="392">
        <v>100</v>
      </c>
      <c r="E11" s="392" t="s">
        <v>126</v>
      </c>
      <c r="F11" s="392">
        <v>100</v>
      </c>
      <c r="G11" s="331" t="s">
        <v>137</v>
      </c>
    </row>
    <row r="12" spans="1:7" ht="13.5" customHeight="1">
      <c r="A12" s="385"/>
      <c r="B12" s="406"/>
      <c r="C12" s="416"/>
      <c r="D12" s="391"/>
      <c r="E12" s="391"/>
      <c r="F12" s="391"/>
      <c r="G12" s="332" t="s">
        <v>138</v>
      </c>
    </row>
    <row r="13" spans="1:7" ht="13.5" customHeight="1">
      <c r="A13" s="385"/>
      <c r="B13" s="406" t="s">
        <v>120</v>
      </c>
      <c r="C13" s="416" t="s">
        <v>126</v>
      </c>
      <c r="D13" s="391">
        <v>100</v>
      </c>
      <c r="E13" s="391" t="s">
        <v>127</v>
      </c>
      <c r="F13" s="391">
        <v>190</v>
      </c>
      <c r="G13" s="333" t="s">
        <v>136</v>
      </c>
    </row>
    <row r="14" spans="1:7" ht="13.5" customHeight="1">
      <c r="A14" s="385"/>
      <c r="B14" s="406"/>
      <c r="C14" s="416"/>
      <c r="D14" s="391"/>
      <c r="E14" s="391"/>
      <c r="F14" s="391"/>
      <c r="G14" s="332" t="s">
        <v>151</v>
      </c>
    </row>
    <row r="15" spans="1:7" ht="13.5" customHeight="1">
      <c r="A15" s="385"/>
      <c r="B15" s="406" t="s">
        <v>121</v>
      </c>
      <c r="C15" s="416" t="s">
        <v>127</v>
      </c>
      <c r="D15" s="391">
        <v>190</v>
      </c>
      <c r="E15" s="391" t="s">
        <v>128</v>
      </c>
      <c r="F15" s="391">
        <v>610</v>
      </c>
      <c r="G15" s="333" t="s">
        <v>136</v>
      </c>
    </row>
    <row r="16" spans="1:7" ht="13.5" customHeight="1">
      <c r="A16" s="385"/>
      <c r="B16" s="406"/>
      <c r="C16" s="416"/>
      <c r="D16" s="391"/>
      <c r="E16" s="391"/>
      <c r="F16" s="391"/>
      <c r="G16" s="332" t="s">
        <v>149</v>
      </c>
    </row>
    <row r="17" spans="1:7" ht="13.5" customHeight="1">
      <c r="A17" s="385"/>
      <c r="B17" s="406" t="s">
        <v>122</v>
      </c>
      <c r="C17" s="416" t="s">
        <v>128</v>
      </c>
      <c r="D17" s="391">
        <v>610</v>
      </c>
      <c r="E17" s="391" t="s">
        <v>129</v>
      </c>
      <c r="F17" s="391">
        <v>820</v>
      </c>
      <c r="G17" s="333" t="s">
        <v>136</v>
      </c>
    </row>
    <row r="18" spans="1:7" ht="13.5" customHeight="1">
      <c r="A18" s="385"/>
      <c r="B18" s="406"/>
      <c r="C18" s="416"/>
      <c r="D18" s="391"/>
      <c r="E18" s="391"/>
      <c r="F18" s="391"/>
      <c r="G18" s="332" t="s">
        <v>150</v>
      </c>
    </row>
    <row r="19" spans="1:7" ht="13.5" customHeight="1">
      <c r="A19" s="385"/>
      <c r="B19" s="386" t="s">
        <v>123</v>
      </c>
      <c r="C19" s="388" t="s">
        <v>129</v>
      </c>
      <c r="D19" s="382">
        <v>820</v>
      </c>
      <c r="E19" s="382" t="s">
        <v>131</v>
      </c>
      <c r="F19" s="382">
        <v>500</v>
      </c>
      <c r="G19" s="333" t="s">
        <v>139</v>
      </c>
    </row>
    <row r="20" spans="1:7" ht="13.5" customHeight="1">
      <c r="A20" s="385"/>
      <c r="B20" s="387"/>
      <c r="C20" s="389"/>
      <c r="D20" s="390"/>
      <c r="E20" s="390"/>
      <c r="F20" s="390"/>
      <c r="G20" s="343" t="s">
        <v>157</v>
      </c>
    </row>
    <row r="21" spans="1:7" ht="13.5" customHeight="1">
      <c r="A21" s="385"/>
      <c r="B21" s="387"/>
      <c r="C21" s="389"/>
      <c r="D21" s="390"/>
      <c r="E21" s="390"/>
      <c r="F21" s="390"/>
      <c r="G21" s="344" t="s">
        <v>158</v>
      </c>
    </row>
    <row r="22" spans="1:7" ht="13.5" customHeight="1">
      <c r="A22" s="385"/>
      <c r="B22" s="387"/>
      <c r="C22" s="389"/>
      <c r="D22" s="390"/>
      <c r="E22" s="390"/>
      <c r="F22" s="390"/>
      <c r="G22" s="335" t="s">
        <v>156</v>
      </c>
    </row>
    <row r="23" spans="1:7" ht="13.5" customHeight="1">
      <c r="A23" s="405" t="s">
        <v>132</v>
      </c>
      <c r="B23" s="406"/>
      <c r="C23" s="336" t="s">
        <v>146</v>
      </c>
      <c r="D23" s="382">
        <v>100</v>
      </c>
      <c r="E23" s="336" t="s">
        <v>146</v>
      </c>
      <c r="F23" s="382">
        <v>200</v>
      </c>
      <c r="G23" s="333" t="s">
        <v>147</v>
      </c>
    </row>
    <row r="24" spans="1:7" ht="13.5" customHeight="1" thickBot="1">
      <c r="A24" s="407"/>
      <c r="B24" s="408"/>
      <c r="C24" s="337" t="s">
        <v>140</v>
      </c>
      <c r="D24" s="383"/>
      <c r="E24" s="337" t="s">
        <v>141</v>
      </c>
      <c r="F24" s="383"/>
      <c r="G24" s="334" t="s">
        <v>135</v>
      </c>
    </row>
    <row r="25" spans="1:7" ht="13.5" customHeight="1">
      <c r="A25" s="401" t="s">
        <v>133</v>
      </c>
      <c r="B25" s="402"/>
      <c r="C25" s="409"/>
      <c r="D25" s="412">
        <f>SUM(D11:D24)</f>
        <v>1920</v>
      </c>
      <c r="E25" s="409"/>
      <c r="F25" s="412">
        <f>SUM(F11:F24)</f>
        <v>2420</v>
      </c>
      <c r="G25" s="341" t="s">
        <v>152</v>
      </c>
    </row>
    <row r="26" spans="1:7" ht="13.5" customHeight="1" thickBot="1">
      <c r="A26" s="403"/>
      <c r="B26" s="404"/>
      <c r="C26" s="410"/>
      <c r="D26" s="413"/>
      <c r="E26" s="410"/>
      <c r="F26" s="413"/>
      <c r="G26" s="342"/>
    </row>
    <row r="27" spans="1:7" ht="13.5" customHeight="1">
      <c r="A27" s="397" t="s">
        <v>154</v>
      </c>
      <c r="B27" s="398"/>
      <c r="C27" s="409"/>
      <c r="D27" s="412">
        <v>2000</v>
      </c>
      <c r="E27" s="409"/>
      <c r="F27" s="412">
        <v>2420</v>
      </c>
      <c r="G27" s="341" t="s">
        <v>153</v>
      </c>
    </row>
    <row r="28" spans="1:7" ht="13.5" customHeight="1" thickBot="1">
      <c r="A28" s="399"/>
      <c r="B28" s="400"/>
      <c r="C28" s="410"/>
      <c r="D28" s="413"/>
      <c r="E28" s="410"/>
      <c r="F28" s="413"/>
      <c r="G28" s="342" t="s">
        <v>155</v>
      </c>
    </row>
  </sheetData>
  <mergeCells count="43">
    <mergeCell ref="G9:G10"/>
    <mergeCell ref="C17:C18"/>
    <mergeCell ref="C15:C16"/>
    <mergeCell ref="C13:C14"/>
    <mergeCell ref="C11:C12"/>
    <mergeCell ref="D17:D18"/>
    <mergeCell ref="E13:E14"/>
    <mergeCell ref="E15:E16"/>
    <mergeCell ref="E17:E18"/>
    <mergeCell ref="C9:D9"/>
    <mergeCell ref="E9:F9"/>
    <mergeCell ref="D25:D26"/>
    <mergeCell ref="E25:E26"/>
    <mergeCell ref="F25:F26"/>
    <mergeCell ref="C27:C28"/>
    <mergeCell ref="D27:D28"/>
    <mergeCell ref="E27:E28"/>
    <mergeCell ref="F27:F28"/>
    <mergeCell ref="A9:B10"/>
    <mergeCell ref="A27:B28"/>
    <mergeCell ref="A25:B26"/>
    <mergeCell ref="A23:B24"/>
    <mergeCell ref="C25:C26"/>
    <mergeCell ref="B17:B18"/>
    <mergeCell ref="B15:B16"/>
    <mergeCell ref="B13:B14"/>
    <mergeCell ref="B11:B12"/>
    <mergeCell ref="F23:F24"/>
    <mergeCell ref="D23:D24"/>
    <mergeCell ref="A11:A22"/>
    <mergeCell ref="B19:B22"/>
    <mergeCell ref="C19:C22"/>
    <mergeCell ref="D19:D22"/>
    <mergeCell ref="E19:E22"/>
    <mergeCell ref="D15:D16"/>
    <mergeCell ref="D13:D14"/>
    <mergeCell ref="D11:D12"/>
    <mergeCell ref="F17:F18"/>
    <mergeCell ref="F15:F16"/>
    <mergeCell ref="F13:F14"/>
    <mergeCell ref="F11:F12"/>
    <mergeCell ref="F19:F22"/>
    <mergeCell ref="E11:E12"/>
  </mergeCells>
  <phoneticPr fontId="1"/>
  <printOptions horizontalCentered="1"/>
  <pageMargins left="0.11811023622047245" right="0.11811023622047245" top="0.74803149606299213" bottom="0.74803149606299213" header="0.31496062992125984" footer="0.31496062992125984"/>
  <pageSetup paperSize="9" scale="90" orientation="landscape" verticalDpi="0"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26"/>
  <sheetViews>
    <sheetView showGridLines="0" tabSelected="1" zoomScale="85" zoomScaleNormal="85" zoomScaleSheetLayoutView="80" workbookViewId="0">
      <selection activeCell="A21" sqref="A21"/>
    </sheetView>
  </sheetViews>
  <sheetFormatPr defaultColWidth="9" defaultRowHeight="16.899999999999999" customHeight="1" outlineLevelCol="1"/>
  <cols>
    <col min="1" max="1" width="23.625" style="5" customWidth="1"/>
    <col min="2" max="2" width="11.625" style="5" bestFit="1" customWidth="1"/>
    <col min="3" max="3" width="6.125" style="5" customWidth="1"/>
    <col min="4" max="8" width="13.875" style="5" customWidth="1"/>
    <col min="9" max="9" width="1.5" style="5" customWidth="1"/>
    <col min="10" max="10" width="25.625" style="5" customWidth="1"/>
    <col min="11" max="12" width="16.625" style="5" customWidth="1"/>
    <col min="13" max="14" width="16.625" style="5" hidden="1" customWidth="1" outlineLevel="1"/>
    <col min="15" max="15" width="16.625" style="5" customWidth="1" collapsed="1"/>
    <col min="16" max="17" width="16.625" style="5" hidden="1" customWidth="1" outlineLevel="1"/>
    <col min="18" max="18" width="14.125" style="5" customWidth="1" collapsed="1"/>
    <col min="19" max="20" width="15.625" style="5" hidden="1" customWidth="1" outlineLevel="1"/>
    <col min="21" max="21" width="15.625" style="11" customWidth="1" collapsed="1"/>
    <col min="22" max="25" width="15.625" style="5" customWidth="1"/>
    <col min="26" max="16384" width="9" style="5"/>
  </cols>
  <sheetData>
    <row r="1" spans="1:22" ht="16.899999999999999" customHeight="1" thickBot="1">
      <c r="A1" s="351" t="s">
        <v>74</v>
      </c>
      <c r="G1" s="442"/>
      <c r="H1" s="442"/>
      <c r="J1" s="82" t="s">
        <v>21</v>
      </c>
      <c r="S1" s="243"/>
      <c r="T1" s="60" t="s">
        <v>112</v>
      </c>
    </row>
    <row r="2" spans="1:22" ht="16.899999999999999" customHeight="1" thickBot="1">
      <c r="J2" s="61" t="s">
        <v>161</v>
      </c>
      <c r="S2" s="241" t="s">
        <v>215</v>
      </c>
      <c r="T2" s="242">
        <f>SUM(T14,G59)</f>
        <v>0</v>
      </c>
      <c r="V2" s="308"/>
    </row>
    <row r="3" spans="1:22" s="6" customFormat="1" ht="16.899999999999999" customHeight="1" thickBot="1">
      <c r="A3" s="451" t="str">
        <f>IF(TRIM($J$2)&lt;&gt;"","堺市放課後児童対策事業（のびのびルーム）管理運営業務（"&amp;J2&amp;"）　"&amp;J10,"")</f>
        <v>堺市放課後児童対策事業（のびのびルーム）管理運営業務（西区B）　入札額積算資料</v>
      </c>
      <c r="B3" s="451"/>
      <c r="C3" s="451"/>
      <c r="D3" s="451"/>
      <c r="E3" s="451"/>
      <c r="F3" s="451"/>
      <c r="G3" s="451"/>
      <c r="H3" s="451"/>
      <c r="Q3" s="5"/>
      <c r="S3" s="239" t="s">
        <v>106</v>
      </c>
      <c r="T3" s="237">
        <f>SUM(T15,G49)</f>
        <v>0</v>
      </c>
      <c r="V3" s="308"/>
    </row>
    <row r="4" spans="1:22" s="6" customFormat="1" ht="16.899999999999999" customHeight="1" thickBot="1">
      <c r="A4" s="15"/>
      <c r="B4" s="15"/>
      <c r="C4" s="15"/>
      <c r="D4" s="15"/>
      <c r="E4" s="15"/>
      <c r="F4" s="15"/>
      <c r="G4" s="15"/>
      <c r="H4" s="15"/>
      <c r="J4" s="25" t="s">
        <v>8</v>
      </c>
      <c r="Q4" s="5"/>
      <c r="S4" s="241" t="s">
        <v>107</v>
      </c>
      <c r="T4" s="242">
        <f>SUM(T16,H58)</f>
        <v>0</v>
      </c>
      <c r="V4" s="308"/>
    </row>
    <row r="5" spans="1:22" s="6" customFormat="1" ht="16.899999999999999" customHeight="1" thickBot="1">
      <c r="A5" s="15"/>
      <c r="B5" s="15"/>
      <c r="C5" s="15"/>
      <c r="D5" s="15"/>
      <c r="E5" s="16" t="s">
        <v>60</v>
      </c>
      <c r="F5" s="461"/>
      <c r="G5" s="461"/>
      <c r="H5" s="462"/>
      <c r="J5" s="230">
        <f>IFERROR(VLOOKUP(J2,バックデータ!AY2:AZ5,2,FALSE),"")</f>
        <v>2</v>
      </c>
      <c r="Q5" s="5"/>
      <c r="S5" s="238" t="s">
        <v>113</v>
      </c>
      <c r="T5" s="236">
        <f>SUM(T2,G81)</f>
        <v>0</v>
      </c>
      <c r="V5" s="308"/>
    </row>
    <row r="6" spans="1:22" s="6" customFormat="1" ht="16.899999999999999" customHeight="1">
      <c r="A6" s="15"/>
      <c r="B6" s="15"/>
      <c r="C6" s="15"/>
      <c r="D6" s="15"/>
      <c r="E6" s="17" t="s">
        <v>61</v>
      </c>
      <c r="F6" s="455"/>
      <c r="G6" s="455"/>
      <c r="H6" s="456"/>
      <c r="J6" s="25" t="s">
        <v>84</v>
      </c>
      <c r="Q6" s="5"/>
      <c r="S6" s="239" t="s">
        <v>106</v>
      </c>
      <c r="T6" s="237">
        <f>SUM(T3,G71)</f>
        <v>0</v>
      </c>
      <c r="V6" s="308"/>
    </row>
    <row r="7" spans="1:22" s="6" customFormat="1" ht="16.899999999999999" customHeight="1" thickBot="1">
      <c r="A7" s="15"/>
      <c r="B7" s="15"/>
      <c r="C7" s="15"/>
      <c r="D7" s="15"/>
      <c r="E7" s="17" t="s">
        <v>62</v>
      </c>
      <c r="F7" s="455"/>
      <c r="G7" s="455"/>
      <c r="H7" s="456"/>
      <c r="J7" s="235" t="s">
        <v>200</v>
      </c>
      <c r="Q7" s="5"/>
      <c r="S7" s="379" t="s">
        <v>107</v>
      </c>
      <c r="T7" s="380">
        <f>SUM(T4,H80)</f>
        <v>0</v>
      </c>
      <c r="V7" s="308"/>
    </row>
    <row r="8" spans="1:22" s="6" customFormat="1" ht="16.899999999999999" customHeight="1" thickBot="1">
      <c r="A8" s="15"/>
      <c r="B8" s="15"/>
      <c r="C8" s="15"/>
      <c r="D8" s="15"/>
      <c r="E8" s="17" t="s">
        <v>63</v>
      </c>
      <c r="F8" s="455"/>
      <c r="G8" s="455"/>
      <c r="H8" s="456"/>
      <c r="J8" s="65"/>
      <c r="S8" s="238" t="s">
        <v>114</v>
      </c>
      <c r="T8" s="236">
        <f>SUM(T5,G103)</f>
        <v>0</v>
      </c>
      <c r="V8" s="308"/>
    </row>
    <row r="9" spans="1:22" s="6" customFormat="1" ht="16.899999999999999" customHeight="1" thickBot="1">
      <c r="A9" s="15"/>
      <c r="B9" s="15"/>
      <c r="C9" s="15"/>
      <c r="D9" s="15"/>
      <c r="E9" s="18" t="s">
        <v>64</v>
      </c>
      <c r="F9" s="452"/>
      <c r="G9" s="452"/>
      <c r="H9" s="453"/>
      <c r="J9" s="25" t="s">
        <v>111</v>
      </c>
      <c r="S9" s="239" t="s">
        <v>106</v>
      </c>
      <c r="T9" s="237">
        <f>SUM(T6,G93)</f>
        <v>0</v>
      </c>
      <c r="V9" s="308"/>
    </row>
    <row r="10" spans="1:22" ht="16.899999999999999" customHeight="1" thickBot="1">
      <c r="B10" s="7"/>
      <c r="C10" s="7"/>
      <c r="E10" s="8"/>
      <c r="F10" s="8"/>
      <c r="G10" s="9"/>
      <c r="H10" s="7"/>
      <c r="J10" s="381" t="s">
        <v>203</v>
      </c>
      <c r="S10" s="241" t="s">
        <v>107</v>
      </c>
      <c r="T10" s="242">
        <f>SUM(T7,H102)</f>
        <v>0</v>
      </c>
      <c r="V10" s="308"/>
    </row>
    <row r="11" spans="1:22" ht="16.899999999999999" customHeight="1">
      <c r="A11" s="459" t="str">
        <f>IF(J$10="入札額積算資料","契約希望金額"&amp;CHAR(10)&amp;"（A+B）","見積金額"&amp;CHAR(10)&amp;"（A+B)")</f>
        <v>契約希望金額
（A+B）</v>
      </c>
      <c r="B11" s="443">
        <f>IFERROR(IF($J$5=1,T14,IF($J$5=2,T2,IF($J$5=3,T5,IF($J$5=4,T8,IF($J$5=5,T11,""))))),"")</f>
        <v>0</v>
      </c>
      <c r="C11" s="444"/>
      <c r="D11" s="445"/>
      <c r="E11" s="246" t="s">
        <v>108</v>
      </c>
      <c r="F11" s="449">
        <f>IFERROR(IF($J$5=1,T15,IF($J$5=2,T3,IF($J$5=3,T6,IF($J$5=4,T9,IF($J$5=5,T12,""))))),"")</f>
        <v>0</v>
      </c>
      <c r="G11" s="449"/>
      <c r="H11" s="244" t="s">
        <v>109</v>
      </c>
      <c r="S11" s="238" t="s">
        <v>115</v>
      </c>
      <c r="T11" s="236">
        <f>SUM(T8,G125)</f>
        <v>0</v>
      </c>
      <c r="V11" s="308"/>
    </row>
    <row r="12" spans="1:22" ht="16.899999999999999" customHeight="1" thickBot="1">
      <c r="A12" s="460"/>
      <c r="B12" s="446"/>
      <c r="C12" s="447"/>
      <c r="D12" s="448"/>
      <c r="E12" s="247" t="s">
        <v>110</v>
      </c>
      <c r="F12" s="450">
        <f>IFERROR(IF($J$5=1,T16,IF($J$5=2,T4,IF($J$5=3,T7,IF($J$5=4,T10,IF($J$5=5,T13,""))))),"")</f>
        <v>0</v>
      </c>
      <c r="G12" s="450"/>
      <c r="H12" s="245" t="s">
        <v>109</v>
      </c>
      <c r="S12" s="239" t="s">
        <v>106</v>
      </c>
      <c r="T12" s="237">
        <f>SUM(T9,G115)</f>
        <v>0</v>
      </c>
      <c r="V12" s="308"/>
    </row>
    <row r="13" spans="1:22" ht="16.899999999999999" customHeight="1">
      <c r="A13" s="457" t="str">
        <f>IF(J$10="入札額積算資料","入札書記載金額"," ")</f>
        <v>入札書記載金額</v>
      </c>
      <c r="B13" s="443">
        <f>IF(J10="入札額積算資料",ROUNDDOWN(B11*100/110,0),"")</f>
        <v>0</v>
      </c>
      <c r="C13" s="444"/>
      <c r="D13" s="445"/>
      <c r="E13" s="454" t="str">
        <f>IF(J$10="入札額積算資料","入札書には、左欄『入札書記載金額』に"&amp;CHAR(10)&amp;"表示された金額を転記すること","　※総価契約部分に限る")</f>
        <v>入札書には、左欄『入札書記載金額』に
表示された金額を転記すること</v>
      </c>
      <c r="F13" s="454"/>
      <c r="G13" s="454"/>
      <c r="H13" s="454"/>
      <c r="S13" s="241" t="s">
        <v>107</v>
      </c>
      <c r="T13" s="242">
        <f>SUM(T10,H124)</f>
        <v>0</v>
      </c>
      <c r="V13" s="308"/>
    </row>
    <row r="14" spans="1:22" ht="16.899999999999999" customHeight="1" thickBot="1">
      <c r="A14" s="458"/>
      <c r="B14" s="446"/>
      <c r="C14" s="447"/>
      <c r="D14" s="448"/>
      <c r="E14" s="454"/>
      <c r="F14" s="454"/>
      <c r="G14" s="454"/>
      <c r="H14" s="454"/>
      <c r="S14" s="238" t="s">
        <v>116</v>
      </c>
      <c r="T14" s="373" t="str">
        <f>G37</f>
        <v/>
      </c>
    </row>
    <row r="15" spans="1:22" ht="16.899999999999999" customHeight="1" thickBot="1">
      <c r="A15" s="281" t="str">
        <f>IF(J$10="入札額積算資料","入札書記載金額は、契約希望金額の110分の100に相当する金額（1円未満切捨）","")</f>
        <v>入札書記載金額は、契約希望金額の110分の100に相当する金額（1円未満切捨）</v>
      </c>
      <c r="B15" s="11"/>
      <c r="C15" s="11"/>
      <c r="D15" s="11"/>
      <c r="E15" s="11"/>
      <c r="F15" s="11"/>
      <c r="G15" s="11"/>
      <c r="H15" s="11"/>
      <c r="S15" s="239" t="s">
        <v>106</v>
      </c>
      <c r="T15" s="372" t="str">
        <f>G27</f>
        <v/>
      </c>
    </row>
    <row r="16" spans="1:22" s="11" customFormat="1" ht="16.899999999999999" customHeight="1" thickBot="1">
      <c r="A16" s="5"/>
      <c r="B16" s="5"/>
      <c r="C16" s="5"/>
      <c r="D16" s="5"/>
      <c r="E16" s="5"/>
      <c r="F16" s="5"/>
      <c r="G16" s="5"/>
      <c r="H16" s="5"/>
      <c r="J16" s="463" t="s">
        <v>1</v>
      </c>
      <c r="K16" s="472" t="s">
        <v>98</v>
      </c>
      <c r="L16" s="432" t="s">
        <v>220</v>
      </c>
      <c r="M16" s="466" t="s">
        <v>68</v>
      </c>
      <c r="N16" s="432" t="s">
        <v>66</v>
      </c>
      <c r="O16" s="467" t="s">
        <v>221</v>
      </c>
      <c r="P16" s="469" t="s">
        <v>69</v>
      </c>
      <c r="Q16" s="467" t="s">
        <v>67</v>
      </c>
      <c r="R16" s="319"/>
      <c r="S16" s="240" t="s">
        <v>107</v>
      </c>
      <c r="T16" s="374" t="str">
        <f>H36</f>
        <v/>
      </c>
      <c r="U16" s="5"/>
    </row>
    <row r="17" spans="1:21" s="11" customFormat="1" ht="16.899999999999999" customHeight="1" thickBot="1">
      <c r="A17" s="1" t="str">
        <f>IFERROR(VLOOKUP($J$2,バックデータ!$AY$2:$BE$5,3,FALSE)&amp;"のびのびルーム","令和●年度のびのびルーム")</f>
        <v>令和8年度のびのびルーム</v>
      </c>
      <c r="B17" s="6"/>
      <c r="C17" s="6"/>
      <c r="D17" s="6"/>
      <c r="E17" s="6"/>
      <c r="F17" s="6"/>
      <c r="G17" s="6"/>
      <c r="H17" s="6"/>
      <c r="J17" s="464"/>
      <c r="K17" s="473"/>
      <c r="L17" s="433"/>
      <c r="M17" s="433"/>
      <c r="N17" s="433"/>
      <c r="O17" s="468"/>
      <c r="P17" s="425"/>
      <c r="Q17" s="468"/>
      <c r="R17" s="319"/>
      <c r="S17" s="5"/>
      <c r="T17" s="5"/>
      <c r="U17" s="5"/>
    </row>
    <row r="18" spans="1:21" ht="16.899999999999999" customHeight="1" thickTop="1">
      <c r="A18" s="463" t="s">
        <v>0</v>
      </c>
      <c r="B18" s="466" t="s">
        <v>98</v>
      </c>
      <c r="C18" s="432" t="s">
        <v>10</v>
      </c>
      <c r="D18" s="432" t="s">
        <v>217</v>
      </c>
      <c r="E18" s="432" t="s">
        <v>218</v>
      </c>
      <c r="F18" s="434" t="s">
        <v>219</v>
      </c>
      <c r="G18" s="436" t="str">
        <f>IF(OR($J$7="契約2年目",$J$7="契約3年目",$J$7="契約4年目",$J$7="契約5年目"),"処遇改善"&amp;CHAR(10)&amp;"（実績）","処遇改善")</f>
        <v>処遇改善</v>
      </c>
      <c r="H18" s="436" t="s">
        <v>7</v>
      </c>
      <c r="J18" s="470" t="s">
        <v>2</v>
      </c>
      <c r="K18" s="322">
        <v>1</v>
      </c>
      <c r="L18" s="356"/>
      <c r="M18" s="323" t="str">
        <f>IF(VLOOKUP($K18,バックデータ!$B$2:$F$9,4,FALSE)=0,"",VLOOKUP($K18,バックデータ!$B$2:$F$9,4,FALSE))</f>
        <v/>
      </c>
      <c r="N18" s="253">
        <f>IF(M18&lt;&gt;"",M18,L18)</f>
        <v>0</v>
      </c>
      <c r="O18" s="357"/>
      <c r="P18" s="323" t="str">
        <f>IF(VLOOKUP($K18,バックデータ!$B$2:$F$9,5,FALSE)=0,"",VLOOKUP($K18,バックデータ!$B$2:$F$9,5,FALSE))</f>
        <v/>
      </c>
      <c r="Q18" s="254">
        <f>IF(P18&lt;&gt;"",P18,O18)</f>
        <v>0</v>
      </c>
      <c r="R18" s="319"/>
      <c r="T18" s="11"/>
      <c r="U18" s="5"/>
    </row>
    <row r="19" spans="1:21" ht="16.899999999999999" customHeight="1" thickBot="1">
      <c r="A19" s="464"/>
      <c r="B19" s="433"/>
      <c r="C19" s="465"/>
      <c r="D19" s="433"/>
      <c r="E19" s="433"/>
      <c r="F19" s="435"/>
      <c r="G19" s="437"/>
      <c r="H19" s="437"/>
      <c r="J19" s="471"/>
      <c r="K19" s="321">
        <v>2</v>
      </c>
      <c r="L19" s="326"/>
      <c r="M19" s="329" t="str">
        <f>IF(VLOOKUP($K19,バックデータ!$B$2:$F$9,4,FALSE)=0,"",VLOOKUP($K19,バックデータ!$B$2:$F$9,4,FALSE))</f>
        <v/>
      </c>
      <c r="N19" s="327">
        <f t="shared" ref="N19:N25" si="0">IF(M19&lt;&gt;"",M19,L19)</f>
        <v>0</v>
      </c>
      <c r="O19" s="328"/>
      <c r="P19" s="329" t="str">
        <f>IF(VLOOKUP($K19,バックデータ!$B$2:$F$9,5,FALSE)=0,"",VLOOKUP($K19,バックデータ!$B$2:$F$9,5,FALSE))</f>
        <v/>
      </c>
      <c r="Q19" s="68">
        <f>IF(P19&lt;&gt;"",P19,O19)</f>
        <v>0</v>
      </c>
      <c r="R19" s="319"/>
      <c r="S19" s="11"/>
      <c r="U19" s="5"/>
    </row>
    <row r="20" spans="1:21" ht="16.899999999999999" customHeight="1" thickTop="1">
      <c r="A20" s="348"/>
      <c r="B20" s="19" t="str">
        <f>IF(A20="","",VLOOKUP(A20,バックデータ!$L$2:$M$24,2,FALSE))</f>
        <v/>
      </c>
      <c r="C20" s="3" t="str">
        <f>IF(A20="","",VLOOKUP(B20,バックデータ!$B$2:$D$9,3,FALSE))</f>
        <v/>
      </c>
      <c r="D20" s="66" t="str">
        <f>IF(A20="","",VLOOKUP(B20,$K$18:$Q$25,4,FALSE))</f>
        <v/>
      </c>
      <c r="E20" s="66" t="str">
        <f>IF(A20="","",VLOOKUP($B20,$K$18:$Q$25,7,FALSE))</f>
        <v/>
      </c>
      <c r="F20" s="46" t="str">
        <f>IF(A20="","",SUM(D20:E20))</f>
        <v/>
      </c>
      <c r="G20" s="254" t="str">
        <f>IF(A20="","",IF(COUNTIF($G18,"*（実績）*"),"―",((C20+H20)*11000*12)))</f>
        <v/>
      </c>
      <c r="H20" s="62" t="str">
        <f>IF(A20="","",VLOOKUP(A20,バックデータ!$L$2:$O$24,4,FALSE))</f>
        <v/>
      </c>
      <c r="J20" s="471"/>
      <c r="K20" s="321">
        <v>3</v>
      </c>
      <c r="L20" s="326"/>
      <c r="M20" s="329" t="str">
        <f>IF(VLOOKUP($K20,バックデータ!$B$2:$F$9,4,FALSE)=0,"",VLOOKUP($K20,バックデータ!$B$2:$F$9,4,FALSE))</f>
        <v/>
      </c>
      <c r="N20" s="327">
        <f t="shared" si="0"/>
        <v>0</v>
      </c>
      <c r="O20" s="328"/>
      <c r="P20" s="329" t="str">
        <f>IF(VLOOKUP($K20,バックデータ!$B$2:$F$9,5,FALSE)=0,"",VLOOKUP($K20,バックデータ!$B$2:$F$9,5,FALSE))</f>
        <v/>
      </c>
      <c r="Q20" s="68">
        <f>IF(P20&lt;&gt;"",P20,O20)</f>
        <v>0</v>
      </c>
      <c r="R20" s="319"/>
      <c r="S20" s="11"/>
      <c r="U20" s="5"/>
    </row>
    <row r="21" spans="1:21" ht="16.899999999999999" customHeight="1">
      <c r="A21" s="347"/>
      <c r="B21" s="19" t="str">
        <f>IF(A21="","",VLOOKUP(A21,バックデータ!$L$2:$M$24,2,FALSE))</f>
        <v/>
      </c>
      <c r="C21" s="4" t="str">
        <f>IF(A21="","",VLOOKUP(B21,バックデータ!$B$2:$D$9,3,FALSE))</f>
        <v/>
      </c>
      <c r="D21" s="67" t="str">
        <f>IF(A21="","",VLOOKUP(B21,$K$18:$Q$25,4,FALSE))</f>
        <v/>
      </c>
      <c r="E21" s="67" t="str">
        <f>IF(A21="","",VLOOKUP($B21,$K$18:$Q$25,7,FALSE))</f>
        <v/>
      </c>
      <c r="F21" s="45" t="str">
        <f t="shared" ref="F21:F25" si="1">IF(A21="","",SUM(D21:E21))</f>
        <v/>
      </c>
      <c r="G21" s="68" t="str">
        <f>IF(A21="","",IF(COUNTIF($G18,"*（実績）*"),"―",((C21+H21)*11000*12)))</f>
        <v/>
      </c>
      <c r="H21" s="62" t="str">
        <f>IF(A21="","",VLOOKUP(A21,バックデータ!$L$2:$O$24,4,FALSE))</f>
        <v/>
      </c>
      <c r="J21" s="471"/>
      <c r="K21" s="321">
        <v>4</v>
      </c>
      <c r="L21" s="326"/>
      <c r="M21" s="329" t="str">
        <f>IF(VLOOKUP($K21,バックデータ!$B$2:$F$9,4,FALSE)=0,"",VLOOKUP($K21,バックデータ!$B$2:$F$9,4,FALSE))</f>
        <v/>
      </c>
      <c r="N21" s="327">
        <f t="shared" si="0"/>
        <v>0</v>
      </c>
      <c r="O21" s="328"/>
      <c r="P21" s="329" t="str">
        <f>IF(VLOOKUP($K21,バックデータ!$B$2:$F$9,5,FALSE)=0,"",VLOOKUP($K21,バックデータ!$B$2:$F$9,5,FALSE))</f>
        <v/>
      </c>
      <c r="Q21" s="68">
        <f t="shared" ref="Q21:Q25" si="2">IF(P21&lt;&gt;"",P21,O21)</f>
        <v>0</v>
      </c>
      <c r="R21" s="319"/>
      <c r="S21" s="11"/>
      <c r="U21" s="5"/>
    </row>
    <row r="22" spans="1:21" ht="16.899999999999999" customHeight="1">
      <c r="A22" s="347"/>
      <c r="B22" s="19" t="str">
        <f>IF(A22="","",VLOOKUP(A22,バックデータ!$L$2:$M$24,2,FALSE))</f>
        <v/>
      </c>
      <c r="C22" s="3" t="str">
        <f>IF(A22="","",VLOOKUP(B22,バックデータ!$B$2:$D$9,3,FALSE))</f>
        <v/>
      </c>
      <c r="D22" s="66" t="str">
        <f>IF(A22="","",VLOOKUP(B22,$K$18:$Q$25,4,FALSE))</f>
        <v/>
      </c>
      <c r="E22" s="67" t="str">
        <f t="shared" ref="E22:E25" si="3">IF(A22="","",VLOOKUP($B22,$K$18:$Q$25,7,FALSE))</f>
        <v/>
      </c>
      <c r="F22" s="45" t="str">
        <f t="shared" si="1"/>
        <v/>
      </c>
      <c r="G22" s="254" t="str">
        <f>IF(A22="","",IF(COUNTIF($G18,"*（実績）*"),"―",((C22+H22)*11000*12)))</f>
        <v/>
      </c>
      <c r="H22" s="62" t="str">
        <f>IF(A22="","",VLOOKUP(A22,バックデータ!$L$2:$O$24,4,FALSE))</f>
        <v/>
      </c>
      <c r="J22" s="471"/>
      <c r="K22" s="321">
        <v>5</v>
      </c>
      <c r="L22" s="326"/>
      <c r="M22" s="329" t="str">
        <f>IF(VLOOKUP($K22,バックデータ!$B$2:$F$9,4,FALSE)=0,"",VLOOKUP($K22,バックデータ!$B$2:$F$9,4,FALSE))</f>
        <v/>
      </c>
      <c r="N22" s="327">
        <f t="shared" si="0"/>
        <v>0</v>
      </c>
      <c r="O22" s="328"/>
      <c r="P22" s="329" t="str">
        <f>IF(VLOOKUP($K22,バックデータ!$B$2:$F$9,5,FALSE)=0,"",VLOOKUP($K22,バックデータ!$B$2:$F$9,5,FALSE))</f>
        <v/>
      </c>
      <c r="Q22" s="68">
        <f t="shared" si="2"/>
        <v>0</v>
      </c>
      <c r="R22" s="319"/>
      <c r="S22" s="11"/>
      <c r="U22" s="5"/>
    </row>
    <row r="23" spans="1:21" ht="16.899999999999999" customHeight="1">
      <c r="A23" s="347"/>
      <c r="B23" s="19" t="str">
        <f>IF(A23="","",VLOOKUP(A23,バックデータ!$L$2:$M$24,2,FALSE))</f>
        <v/>
      </c>
      <c r="C23" s="4" t="str">
        <f>IF(A23="","",VLOOKUP(B23,バックデータ!$B$2:$D$9,3,FALSE))</f>
        <v/>
      </c>
      <c r="D23" s="67" t="str">
        <f t="shared" ref="D23:D25" si="4">IF(A23="","",VLOOKUP(B23,$K$18:$Q$25,4,FALSE))</f>
        <v/>
      </c>
      <c r="E23" s="67" t="str">
        <f t="shared" si="3"/>
        <v/>
      </c>
      <c r="F23" s="45" t="str">
        <f t="shared" si="1"/>
        <v/>
      </c>
      <c r="G23" s="68" t="str">
        <f>IF(A23="","",IF(COUNTIF($G18,"*（実績）*"),"―",((C23+H23)*11000*12)))</f>
        <v/>
      </c>
      <c r="H23" s="62" t="str">
        <f>IF(A23="","",VLOOKUP(A23,バックデータ!$L$2:$O$24,4,FALSE))</f>
        <v/>
      </c>
      <c r="J23" s="471"/>
      <c r="K23" s="321">
        <v>6</v>
      </c>
      <c r="L23" s="326"/>
      <c r="M23" s="329" t="str">
        <f>IF(VLOOKUP($K23,バックデータ!$B$2:$F$9,4,FALSE)=0,"",VLOOKUP($K23,バックデータ!$B$2:$F$9,4,FALSE))</f>
        <v/>
      </c>
      <c r="N23" s="327">
        <f t="shared" si="0"/>
        <v>0</v>
      </c>
      <c r="O23" s="328"/>
      <c r="P23" s="329" t="str">
        <f>IF(VLOOKUP($K23,バックデータ!$B$2:$F$9,5,FALSE)=0,"",VLOOKUP($K23,バックデータ!$B$2:$F$9,5,FALSE))</f>
        <v/>
      </c>
      <c r="Q23" s="68">
        <f t="shared" si="2"/>
        <v>0</v>
      </c>
      <c r="R23" s="319"/>
      <c r="S23" s="11"/>
    </row>
    <row r="24" spans="1:21" ht="16.899999999999999" customHeight="1">
      <c r="A24" s="347"/>
      <c r="B24" s="19" t="str">
        <f>IF(A24="","",VLOOKUP(A24,バックデータ!$L$2:$M$24,2,FALSE))</f>
        <v/>
      </c>
      <c r="C24" s="3" t="str">
        <f>IF(A24="","",VLOOKUP(B24,バックデータ!$B$2:$D$9,3,FALSE))</f>
        <v/>
      </c>
      <c r="D24" s="66" t="str">
        <f t="shared" si="4"/>
        <v/>
      </c>
      <c r="E24" s="67" t="str">
        <f t="shared" si="3"/>
        <v/>
      </c>
      <c r="F24" s="45" t="str">
        <f t="shared" si="1"/>
        <v/>
      </c>
      <c r="G24" s="254" t="str">
        <f>IF(A24="","",IF(COUNTIF($G18,"*（実績）*"),"―",((C24+H24)*11000*12)))</f>
        <v/>
      </c>
      <c r="H24" s="62" t="str">
        <f>IF(A24="","",VLOOKUP(A24,バックデータ!$L$2:$O$24,4,FALSE))</f>
        <v/>
      </c>
      <c r="J24" s="471"/>
      <c r="K24" s="321">
        <v>7</v>
      </c>
      <c r="L24" s="326"/>
      <c r="M24" s="329" t="str">
        <f>IF(VLOOKUP($K24,バックデータ!$B$2:$F$9,4,FALSE)=0,"",VLOOKUP($K24,バックデータ!$B$2:$F$9,4,FALSE))</f>
        <v/>
      </c>
      <c r="N24" s="327">
        <f t="shared" si="0"/>
        <v>0</v>
      </c>
      <c r="O24" s="328"/>
      <c r="P24" s="329" t="str">
        <f>IF(VLOOKUP($K24,バックデータ!$B$2:$F$9,5,FALSE)=0,"",VLOOKUP($K24,バックデータ!$B$2:$F$9,5,FALSE))</f>
        <v/>
      </c>
      <c r="Q24" s="68">
        <f t="shared" si="2"/>
        <v>0</v>
      </c>
      <c r="R24" s="319"/>
      <c r="S24" s="11"/>
    </row>
    <row r="25" spans="1:21" ht="16.899999999999999" customHeight="1">
      <c r="A25" s="347"/>
      <c r="B25" s="19" t="str">
        <f>IF(A25="","",VLOOKUP(A25,バックデータ!$L$2:$M$24,2,FALSE))</f>
        <v/>
      </c>
      <c r="C25" s="4" t="str">
        <f>IF(A25="","",VLOOKUP(B25,バックデータ!$B$2:$D$9,3,FALSE))</f>
        <v/>
      </c>
      <c r="D25" s="67" t="str">
        <f t="shared" si="4"/>
        <v/>
      </c>
      <c r="E25" s="67" t="str">
        <f t="shared" si="3"/>
        <v/>
      </c>
      <c r="F25" s="45" t="str">
        <f t="shared" si="1"/>
        <v/>
      </c>
      <c r="G25" s="68" t="str">
        <f>IF(A25="","",IF(COUNTIF($G18,"*（実績）*"),"―",((C25+H25)*11000*12)))</f>
        <v/>
      </c>
      <c r="H25" s="62" t="str">
        <f>IF(A25="","",VLOOKUP(A25,バックデータ!$L$2:$O$24,4,FALSE))</f>
        <v/>
      </c>
      <c r="J25" s="471"/>
      <c r="K25" s="321">
        <v>8</v>
      </c>
      <c r="L25" s="326"/>
      <c r="M25" s="329" t="str">
        <f>IF(VLOOKUP($K25,バックデータ!$B$2:$F$9,4,FALSE)=0,"",VLOOKUP($K25,バックデータ!$B$2:$F$9,4,FALSE))</f>
        <v/>
      </c>
      <c r="N25" s="327">
        <f t="shared" si="0"/>
        <v>0</v>
      </c>
      <c r="O25" s="328"/>
      <c r="P25" s="329" t="str">
        <f>IF(VLOOKUP($K25,バックデータ!$B$2:$F$9,5,FALSE)=0,"",VLOOKUP($K25,バックデータ!$B$2:$F$9,5,FALSE))</f>
        <v/>
      </c>
      <c r="Q25" s="68">
        <f t="shared" si="2"/>
        <v>0</v>
      </c>
      <c r="R25" s="319"/>
      <c r="S25" s="11"/>
    </row>
    <row r="26" spans="1:21" ht="16.899999999999999" customHeight="1">
      <c r="A26" s="200" t="s">
        <v>216</v>
      </c>
      <c r="B26" s="201"/>
      <c r="C26" s="201"/>
      <c r="D26" s="201"/>
      <c r="E26" s="202"/>
      <c r="F26" s="89" t="str">
        <f>IF(A$20="","",SUM(F20:F25))</f>
        <v/>
      </c>
      <c r="G26" s="263" t="str">
        <f>IF(A20="","",IF(COUNTIF($G18,"*（実績）*"),バックデータ!H32,SUM(G20:G25)))</f>
        <v/>
      </c>
      <c r="H26" s="90" t="str">
        <f>IF(H20="","",SUM(H20:H25))</f>
        <v/>
      </c>
      <c r="R26" s="319"/>
    </row>
    <row r="27" spans="1:21" ht="16.899999999999999" customHeight="1" thickBot="1">
      <c r="A27" s="203" t="str">
        <f>IFERROR("【総価契約部分】"&amp;VLOOKUP($J$2,バックデータ!$AY$2:$BE$5,3,FALSE)&amp;"　合計","【総価契約部分】令和●年度　合計")</f>
        <v>【総価契約部分】令和8年度　合計</v>
      </c>
      <c r="B27" s="204"/>
      <c r="C27" s="204"/>
      <c r="D27" s="204"/>
      <c r="E27" s="205"/>
      <c r="F27" s="264"/>
      <c r="G27" s="265" t="str">
        <f>IF(F26="","",F26+G26)</f>
        <v/>
      </c>
      <c r="H27" s="64"/>
      <c r="R27" s="319"/>
    </row>
    <row r="28" spans="1:21" ht="16.899999999999999" customHeight="1" thickBot="1">
      <c r="A28" s="257" t="s">
        <v>198</v>
      </c>
      <c r="B28" s="258"/>
      <c r="C28" s="258"/>
      <c r="D28" s="258"/>
      <c r="E28" s="258"/>
      <c r="F28" s="259"/>
      <c r="G28" s="260"/>
      <c r="H28" s="261"/>
      <c r="I28" s="12"/>
      <c r="J28" s="13"/>
      <c r="N28" s="11"/>
      <c r="R28" s="319"/>
      <c r="U28" s="5"/>
    </row>
    <row r="29" spans="1:21" ht="16.899999999999999" customHeight="1" thickBot="1">
      <c r="A29" s="282"/>
      <c r="B29" s="424" t="s">
        <v>195</v>
      </c>
      <c r="C29" s="425"/>
      <c r="D29" s="358" t="s">
        <v>194</v>
      </c>
      <c r="E29" s="93" t="s">
        <v>72</v>
      </c>
      <c r="F29" s="296" t="str">
        <f>IFERROR("【単価契約部分】"&amp;IF(OR($J$7="契約2年目",$J$7="契約3年目",$J$7="契約4年目",$J$7="契約5年目"),VLOOKUP($J$2,バックデータ!$AY$2:$BE$5,3,FALSE)&amp;"　合計（実績）",VLOOKUP($J$2,バックデータ!$AY$2:$BE$5,3,FALSE)&amp;"　合計（税抜日額×人数×日数）"),"【単価契約部分】令和●年度　合計（税抜日額×人数×日数）")</f>
        <v>【単価契約部分】令和8年度　合計（税抜日額×人数×日数）</v>
      </c>
      <c r="G29" s="286"/>
      <c r="H29" s="294"/>
      <c r="K29" s="376" t="s">
        <v>204</v>
      </c>
      <c r="L29" s="319"/>
      <c r="N29" s="11"/>
      <c r="U29" s="5"/>
    </row>
    <row r="30" spans="1:21" ht="16.899999999999999" customHeight="1" thickTop="1">
      <c r="A30" s="363" t="s">
        <v>196</v>
      </c>
      <c r="B30" s="426" t="str">
        <f>IF($A$20="","",IF($J$7="契約1年目",$K$30,バックデータ!A38))</f>
        <v/>
      </c>
      <c r="C30" s="427"/>
      <c r="D30" s="359" t="str">
        <f>IF(B30="","",H26)</f>
        <v/>
      </c>
      <c r="E30" s="267" t="str">
        <f>IF(B30="","",'支出負担行為整理簿（乙）別紙'!$AF$20)</f>
        <v/>
      </c>
      <c r="F30" s="288"/>
      <c r="G30" s="289"/>
      <c r="H30" s="295" t="str">
        <f>IFERROR(IF($J$7="","",IF(COUNTIF(F29,"*（実績）*"),バックデータ!I38,B30*D30*E30)),"")</f>
        <v/>
      </c>
      <c r="J30" s="8" t="s">
        <v>208</v>
      </c>
      <c r="K30" s="377"/>
      <c r="L30" s="220" t="s">
        <v>99</v>
      </c>
      <c r="N30" s="11"/>
      <c r="U30" s="5"/>
    </row>
    <row r="31" spans="1:21" ht="16.899999999999999" customHeight="1" thickBot="1">
      <c r="A31" s="364" t="s">
        <v>197</v>
      </c>
      <c r="B31" s="420" t="str">
        <f>IF($A$20="","",IF($J$7="契約1年目",$K$31,バックデータ!A39))</f>
        <v/>
      </c>
      <c r="C31" s="421"/>
      <c r="D31" s="360" t="str">
        <f>IF(B31="","",H26)</f>
        <v/>
      </c>
      <c r="E31" s="268" t="str">
        <f>IF(B31="","",'支出負担行為整理簿（乙）別紙'!$AF$21)</f>
        <v/>
      </c>
      <c r="F31" s="290"/>
      <c r="G31" s="291"/>
      <c r="H31" s="287" t="str">
        <f>IFERROR(IF($J$7="","",IF(COUNTIF(F29,"*（実績）*"),バックデータ!I39,B31*D31*E31)),"")</f>
        <v/>
      </c>
      <c r="J31" s="8" t="s">
        <v>207</v>
      </c>
      <c r="K31" s="378"/>
      <c r="L31" s="220" t="s">
        <v>99</v>
      </c>
      <c r="N31" s="11"/>
      <c r="T31" s="11"/>
      <c r="U31" s="5"/>
    </row>
    <row r="32" spans="1:21" ht="16.899999999999999" customHeight="1" thickBot="1">
      <c r="A32" s="257" t="s">
        <v>201</v>
      </c>
      <c r="B32" s="258"/>
      <c r="C32" s="258"/>
      <c r="D32" s="258"/>
      <c r="E32" s="259"/>
      <c r="F32" s="292"/>
      <c r="G32" s="292"/>
      <c r="H32" s="293"/>
      <c r="J32" s="13"/>
      <c r="L32" s="319"/>
      <c r="M32" s="6"/>
      <c r="N32" s="11"/>
      <c r="U32" s="5"/>
    </row>
    <row r="33" spans="1:24" ht="16.899999999999999" customHeight="1" thickBot="1">
      <c r="A33" s="282"/>
      <c r="B33" s="424" t="s">
        <v>199</v>
      </c>
      <c r="C33" s="425"/>
      <c r="D33" s="353" t="s">
        <v>73</v>
      </c>
      <c r="E33" s="93" t="s">
        <v>72</v>
      </c>
      <c r="F33" s="296" t="str">
        <f>IFERROR("【単価契約部分】"&amp;IF(OR($J$7="契約2年目",$J$7="契約3年目",$J$7="契約4年目",$J$7="契約5年目"),VLOOKUP($J$2,バックデータ!$AY$2:$BE$5,3,FALSE)&amp;"　合計（実績）",VLOOKUP($J$2,バックデータ!$AY$2:$BE$5,3,FALSE)&amp;"　合計（税抜日額×人数×日数）"),"【単価契約部分】令和●年度　合計（税抜日額×人数×日数）")</f>
        <v>【単価契約部分】令和8年度　合計（税抜日額×人数×日数）</v>
      </c>
      <c r="G33" s="286"/>
      <c r="H33" s="294"/>
      <c r="K33" s="376" t="s">
        <v>204</v>
      </c>
      <c r="L33" s="320"/>
      <c r="M33" s="6"/>
      <c r="N33" s="6"/>
      <c r="O33" s="11"/>
      <c r="P33" s="6"/>
      <c r="Q33" s="6"/>
      <c r="R33" s="6"/>
      <c r="U33" s="5"/>
    </row>
    <row r="34" spans="1:24" ht="16.899999999999999" customHeight="1" thickTop="1">
      <c r="A34" s="363" t="s">
        <v>196</v>
      </c>
      <c r="B34" s="426" t="str">
        <f>IF($A$20="","",IF($J$7="契約1年目",$K$34,バックデータ!A42))</f>
        <v/>
      </c>
      <c r="C34" s="427"/>
      <c r="D34" s="3" t="str">
        <f>IF(B34="","",1)</f>
        <v/>
      </c>
      <c r="E34" s="267" t="str">
        <f>IF(B34="","",'支出負担行為整理簿（乙）別紙'!AA$35+'支出負担行為整理簿（乙）別紙'!AA$36)</f>
        <v/>
      </c>
      <c r="F34" s="288"/>
      <c r="G34" s="289"/>
      <c r="H34" s="295" t="str">
        <f>IFERROR(IF($J$7="","",IF(COUNTIF(F33,"*（実績）*"),バックデータ!I42,B34*D34*E34)),"")</f>
        <v/>
      </c>
      <c r="J34" s="8" t="s">
        <v>205</v>
      </c>
      <c r="K34" s="377"/>
      <c r="L34" s="220" t="s">
        <v>99</v>
      </c>
      <c r="M34" s="220" t="s">
        <v>99</v>
      </c>
      <c r="N34" s="6"/>
      <c r="O34" s="6"/>
      <c r="P34" s="6"/>
      <c r="Q34" s="6"/>
      <c r="R34" s="6"/>
      <c r="U34" s="5"/>
    </row>
    <row r="35" spans="1:24" s="6" customFormat="1" ht="16.899999999999999" customHeight="1" thickBot="1">
      <c r="A35" s="364" t="s">
        <v>197</v>
      </c>
      <c r="B35" s="420" t="str">
        <f>IF($A$20="","",IF($J$7="契約1年目",$K$35,バックデータ!A43))</f>
        <v/>
      </c>
      <c r="C35" s="421"/>
      <c r="D35" s="300" t="str">
        <f>IF(B35="","",1)</f>
        <v/>
      </c>
      <c r="E35" s="301" t="str">
        <f>IF(B35="","",'支出負担行為整理簿（乙）別紙'!AA$38+'支出負担行為整理簿（乙）別紙'!AA$39)</f>
        <v/>
      </c>
      <c r="F35" s="266"/>
      <c r="G35" s="302"/>
      <c r="H35" s="303" t="str">
        <f>IFERROR(IF($J$7="","",IF(COUNTIF(F33,"*（実績）*"),バックデータ!I43,B35*D35*E35)),"")</f>
        <v/>
      </c>
      <c r="J35" s="8" t="s">
        <v>206</v>
      </c>
      <c r="K35" s="378"/>
      <c r="L35" s="220" t="s">
        <v>99</v>
      </c>
      <c r="M35" s="220" t="s">
        <v>99</v>
      </c>
      <c r="S35" s="5"/>
      <c r="T35" s="5"/>
    </row>
    <row r="36" spans="1:24" s="6" customFormat="1" ht="16.899999999999999" customHeight="1" thickBot="1">
      <c r="A36" s="304" t="str">
        <f>IFERROR("【単価契約部分】"&amp;IF(OR(J$7="契約2年目",J$7="契約3年目",J$7="契約4年目",J$7="契約5年目"),VLOOKUP($J$2,バックデータ!$AY$2:$BE$5,3,FALSE)&amp;"　総合計（実績）",VLOOKUP($J$2,バックデータ!$AY$2:$BE$5,3,FALSE)&amp;"　総合計"),"【単価契約部分】令和●年度　総合計")</f>
        <v>【単価契約部分】令和8年度　総合計</v>
      </c>
      <c r="B36" s="305"/>
      <c r="C36" s="305"/>
      <c r="D36" s="305"/>
      <c r="E36" s="305"/>
      <c r="F36" s="305"/>
      <c r="G36" s="306"/>
      <c r="H36" s="307" t="str">
        <f>IFERROR(IF(G27="","",SUM(H30:H31,H34:H35)),"")</f>
        <v/>
      </c>
      <c r="J36" s="5"/>
      <c r="K36" s="5"/>
      <c r="L36" s="5"/>
      <c r="M36" s="5"/>
      <c r="N36" s="5"/>
      <c r="O36" s="5"/>
      <c r="Q36" s="5"/>
      <c r="R36" s="325"/>
      <c r="S36" s="5"/>
      <c r="T36" s="5"/>
    </row>
    <row r="37" spans="1:24" s="6" customFormat="1" ht="16.899999999999999" customHeight="1" thickBot="1">
      <c r="A37" s="304" t="str">
        <f>"【総価契約部分及び単価契約部分】"&amp;IFERROR(IF(OR(J$7="契約2年目",J$7="契約3年目",J$7="契約4年目",J$7="契約5年目"),VLOOKUP($J$2,バックデータ!$AY$2:$BE$5,3,FALSE)&amp;"　総合計（単価契約部分は実績）・・・（A）",VLOOKUP($J$2,バックデータ!$AY$2:$BE$5,3,FALSE)&amp;"　総合計・・・（A）"),"令和●年度　総合計・・・（A）")</f>
        <v>【総価契約部分及び単価契約部分】令和8年度　総合計・・・（A）</v>
      </c>
      <c r="B37" s="305"/>
      <c r="C37" s="305"/>
      <c r="D37" s="305"/>
      <c r="E37" s="305"/>
      <c r="F37" s="305"/>
      <c r="G37" s="422" t="str">
        <f>IFERROR(IF(G27="","",SUM(G27,H36)),"")</f>
        <v/>
      </c>
      <c r="H37" s="423"/>
      <c r="J37" s="220"/>
      <c r="K37" s="220"/>
      <c r="L37" s="345"/>
      <c r="M37" s="220"/>
      <c r="N37" s="220"/>
      <c r="Q37" s="5"/>
      <c r="R37" s="325"/>
      <c r="S37" s="5"/>
      <c r="T37" s="5"/>
    </row>
    <row r="38" spans="1:24" s="6" customFormat="1" ht="16.899999999999999" customHeight="1">
      <c r="A38" s="11"/>
      <c r="B38" s="11"/>
      <c r="C38" s="11"/>
      <c r="D38" s="11"/>
      <c r="E38" s="11"/>
      <c r="F38" s="5"/>
      <c r="G38" s="87"/>
      <c r="H38" s="88"/>
      <c r="J38" s="220"/>
      <c r="K38" s="220"/>
      <c r="L38" s="345"/>
      <c r="M38" s="220"/>
      <c r="N38" s="220"/>
      <c r="O38" s="220"/>
      <c r="P38" s="5"/>
    </row>
    <row r="39" spans="1:24" s="6" customFormat="1" ht="16.5" customHeight="1" thickBot="1">
      <c r="A39" s="1" t="str">
        <f>IFERROR(VLOOKUP($J$2,バックデータ!$AY$2:$BE$5,4,FALSE)&amp;"のびのびルーム","令和●年度のびのびルーム")</f>
        <v>令和9年度のびのびルーム</v>
      </c>
      <c r="J39" s="5"/>
      <c r="K39" s="5"/>
      <c r="L39" s="5"/>
      <c r="M39" s="5"/>
      <c r="N39" s="5"/>
      <c r="O39" s="5"/>
      <c r="Q39" s="5"/>
      <c r="R39" s="324"/>
    </row>
    <row r="40" spans="1:24" s="6" customFormat="1" ht="16.899999999999999" customHeight="1">
      <c r="A40" s="440" t="s">
        <v>0</v>
      </c>
      <c r="B40" s="428" t="s">
        <v>98</v>
      </c>
      <c r="C40" s="430" t="s">
        <v>10</v>
      </c>
      <c r="D40" s="432" t="s">
        <v>217</v>
      </c>
      <c r="E40" s="432" t="s">
        <v>218</v>
      </c>
      <c r="F40" s="434" t="s">
        <v>219</v>
      </c>
      <c r="G40" s="436" t="str">
        <f>IF(OR(J$7="契約3年目",J$7="契約4年目",J$7="契約5年目"),"処遇改善"&amp;CHAR(10)&amp;"（実績）","処遇改善")</f>
        <v>処遇改善</v>
      </c>
      <c r="H40" s="438" t="s">
        <v>7</v>
      </c>
      <c r="J40" s="5"/>
      <c r="K40" s="5"/>
      <c r="L40" s="5"/>
      <c r="M40" s="5"/>
      <c r="N40" s="5"/>
      <c r="O40" s="5"/>
      <c r="Q40" s="5"/>
      <c r="R40" s="325"/>
    </row>
    <row r="41" spans="1:24" s="6" customFormat="1" ht="16.899999999999999" customHeight="1" thickBot="1">
      <c r="A41" s="441"/>
      <c r="B41" s="429"/>
      <c r="C41" s="431"/>
      <c r="D41" s="433"/>
      <c r="E41" s="433"/>
      <c r="F41" s="435"/>
      <c r="G41" s="437"/>
      <c r="H41" s="439"/>
      <c r="J41" s="5"/>
      <c r="K41" s="5"/>
      <c r="L41" s="5"/>
      <c r="M41" s="5"/>
      <c r="N41" s="5"/>
      <c r="O41" s="5"/>
      <c r="Q41" s="5"/>
      <c r="R41" s="325"/>
    </row>
    <row r="42" spans="1:24" s="6" customFormat="1" ht="16.899999999999999" customHeight="1" thickTop="1">
      <c r="A42" s="362" t="str">
        <f t="shared" ref="A42:A47" si="5">IF(A20="","",A20)</f>
        <v/>
      </c>
      <c r="B42" s="19" t="str">
        <f>IF(A42="","",VLOOKUP(A42,バックデータ!$S$2:$T$24,2,FALSE))</f>
        <v/>
      </c>
      <c r="C42" s="3" t="str">
        <f>IF(A42="","",VLOOKUP(B42,バックデータ!$B$2:$D$9,3,FALSE))</f>
        <v/>
      </c>
      <c r="D42" s="66" t="str">
        <f t="shared" ref="D42:D47" si="6">IF(A42="","",VLOOKUP(B42,$K$18:$Q$25,4,FALSE))</f>
        <v/>
      </c>
      <c r="E42" s="66" t="str">
        <f>IF(A42="","",VLOOKUP($B42,$K$18:$Q$25,7,FALSE))</f>
        <v/>
      </c>
      <c r="F42" s="46" t="str">
        <f t="shared" ref="F42:F47" si="7">IF(A42="","",SUM(D42:E42))</f>
        <v/>
      </c>
      <c r="G42" s="254" t="str">
        <f>IF(A42="","",IF(COUNTIF($G40,"*（実績）*"),"―",((C42+H42)*11000*12)))</f>
        <v/>
      </c>
      <c r="H42" s="62" t="str">
        <f>IF(A42="","",VLOOKUP(A42,バックデータ!$S$2:$V$24,4,FALSE))</f>
        <v/>
      </c>
      <c r="J42" s="5"/>
      <c r="K42" s="5"/>
      <c r="L42" s="5"/>
      <c r="M42" s="5"/>
      <c r="N42" s="5"/>
      <c r="O42" s="5"/>
      <c r="P42" s="5"/>
      <c r="Q42" s="5"/>
      <c r="U42" s="11"/>
    </row>
    <row r="43" spans="1:24" s="6" customFormat="1" ht="16.899999999999999" customHeight="1">
      <c r="A43" s="361" t="str">
        <f t="shared" si="5"/>
        <v/>
      </c>
      <c r="B43" s="19" t="str">
        <f>IF(A43="","",VLOOKUP(A43,バックデータ!$S$2:$T$24,2,FALSE))</f>
        <v/>
      </c>
      <c r="C43" s="4" t="str">
        <f>IF(A43="","",VLOOKUP(B43,バックデータ!$B$2:$D$9,3,FALSE))</f>
        <v/>
      </c>
      <c r="D43" s="67" t="str">
        <f t="shared" si="6"/>
        <v/>
      </c>
      <c r="E43" s="67" t="str">
        <f>IF(A43="","",VLOOKUP($B43,$K$18:$Q$25,7,FALSE))</f>
        <v/>
      </c>
      <c r="F43" s="45" t="str">
        <f t="shared" si="7"/>
        <v/>
      </c>
      <c r="G43" s="68" t="str">
        <f>IF(A43="","",IF(COUNTIF($G40,"*（実績）*"),"―",((C43+H43)*11000*12)))</f>
        <v/>
      </c>
      <c r="H43" s="62" t="str">
        <f>IF(A43="","",VLOOKUP(A43,バックデータ!$S$2:$V$24,4,FALSE))</f>
        <v/>
      </c>
      <c r="J43" s="5"/>
      <c r="K43" s="5"/>
      <c r="L43" s="5"/>
      <c r="M43" s="5"/>
      <c r="N43" s="5"/>
      <c r="O43" s="5"/>
      <c r="P43" s="5"/>
      <c r="Q43" s="5"/>
      <c r="S43" s="5"/>
      <c r="T43" s="5"/>
      <c r="U43" s="11"/>
    </row>
    <row r="44" spans="1:24" s="6" customFormat="1" ht="16.899999999999999" customHeight="1">
      <c r="A44" s="361" t="str">
        <f t="shared" si="5"/>
        <v/>
      </c>
      <c r="B44" s="19" t="str">
        <f>IF(A44="","",VLOOKUP(A44,バックデータ!$S$2:$T$24,2,FALSE))</f>
        <v/>
      </c>
      <c r="C44" s="3" t="str">
        <f>IF(A44="","",VLOOKUP(B44,バックデータ!$B$2:$D$9,3,FALSE))</f>
        <v/>
      </c>
      <c r="D44" s="66" t="str">
        <f t="shared" si="6"/>
        <v/>
      </c>
      <c r="E44" s="67" t="str">
        <f t="shared" ref="E44:E47" si="8">IF(A44="","",VLOOKUP($B44,$K$18:$Q$25,7,FALSE))</f>
        <v/>
      </c>
      <c r="F44" s="45" t="str">
        <f t="shared" si="7"/>
        <v/>
      </c>
      <c r="G44" s="254" t="str">
        <f>IF(A44="","",IF(COUNTIF($G40,"*（実績）*"),"―",((C44+H44)*11000*12)))</f>
        <v/>
      </c>
      <c r="H44" s="62" t="str">
        <f>IF(A44="","",VLOOKUP(A44,バックデータ!$S$2:$V$24,4,FALSE))</f>
        <v/>
      </c>
      <c r="J44" s="5"/>
      <c r="K44" s="5"/>
      <c r="L44" s="5"/>
      <c r="M44" s="5"/>
      <c r="N44" s="5"/>
      <c r="O44" s="5"/>
      <c r="P44" s="5"/>
      <c r="Q44" s="5"/>
      <c r="S44" s="5"/>
      <c r="T44" s="5"/>
      <c r="U44" s="11"/>
    </row>
    <row r="45" spans="1:24" s="6" customFormat="1" ht="16.899999999999999" customHeight="1">
      <c r="A45" s="361" t="str">
        <f t="shared" si="5"/>
        <v/>
      </c>
      <c r="B45" s="19" t="str">
        <f>IF(A45="","",VLOOKUP(A45,バックデータ!$S$2:$T$24,2,FALSE))</f>
        <v/>
      </c>
      <c r="C45" s="4" t="str">
        <f>IF(A45="","",VLOOKUP(B45,バックデータ!$B$2:$D$9,3,FALSE))</f>
        <v/>
      </c>
      <c r="D45" s="67" t="str">
        <f t="shared" si="6"/>
        <v/>
      </c>
      <c r="E45" s="67" t="str">
        <f t="shared" si="8"/>
        <v/>
      </c>
      <c r="F45" s="45" t="str">
        <f t="shared" si="7"/>
        <v/>
      </c>
      <c r="G45" s="68" t="str">
        <f>IF(A45="","",IF(COUNTIF($G40,"*（実績）*"),"―",((C45+H45)*11000*12)))</f>
        <v/>
      </c>
      <c r="H45" s="62" t="str">
        <f>IF(A45="","",VLOOKUP(A45,バックデータ!$S$2:$V$24,4,FALSE))</f>
        <v/>
      </c>
      <c r="J45" s="5"/>
      <c r="K45" s="5"/>
      <c r="L45" s="5"/>
      <c r="M45" s="5"/>
      <c r="N45" s="5"/>
      <c r="O45" s="5"/>
      <c r="P45" s="5"/>
      <c r="Q45" s="5"/>
      <c r="R45" s="5"/>
      <c r="S45" s="5"/>
      <c r="T45" s="5"/>
      <c r="U45" s="11"/>
      <c r="V45" s="5"/>
      <c r="W45" s="5"/>
      <c r="X45" s="5"/>
    </row>
    <row r="46" spans="1:24" s="6" customFormat="1" ht="16.899999999999999" customHeight="1">
      <c r="A46" s="361" t="str">
        <f t="shared" si="5"/>
        <v/>
      </c>
      <c r="B46" s="19" t="str">
        <f>IF(A46="","",VLOOKUP(A46,バックデータ!$S$2:$T$24,2,FALSE))</f>
        <v/>
      </c>
      <c r="C46" s="3" t="str">
        <f>IF(A46="","",VLOOKUP(B46,バックデータ!$B$2:$D$9,3,FALSE))</f>
        <v/>
      </c>
      <c r="D46" s="66" t="str">
        <f t="shared" si="6"/>
        <v/>
      </c>
      <c r="E46" s="67" t="str">
        <f t="shared" si="8"/>
        <v/>
      </c>
      <c r="F46" s="45" t="str">
        <f t="shared" si="7"/>
        <v/>
      </c>
      <c r="G46" s="254" t="str">
        <f>IF(A46="","",IF(COUNTIF($G40,"*（実績）*"),"―",((C46+H46)*11000*12)))</f>
        <v/>
      </c>
      <c r="H46" s="62" t="str">
        <f>IF(A46="","",VLOOKUP(A46,バックデータ!$S$2:$V$24,4,FALSE))</f>
        <v/>
      </c>
      <c r="J46" s="5"/>
      <c r="K46" s="5"/>
      <c r="L46" s="5"/>
      <c r="M46" s="5"/>
      <c r="N46" s="5"/>
      <c r="O46" s="5"/>
      <c r="P46" s="5"/>
      <c r="Q46" s="5"/>
      <c r="R46" s="5"/>
      <c r="S46" s="5"/>
      <c r="T46" s="5"/>
      <c r="U46" s="11"/>
      <c r="V46" s="5"/>
      <c r="W46" s="5"/>
      <c r="X46" s="5"/>
    </row>
    <row r="47" spans="1:24" ht="16.899999999999999" customHeight="1">
      <c r="A47" s="361" t="str">
        <f t="shared" si="5"/>
        <v/>
      </c>
      <c r="B47" s="19" t="str">
        <f>IF(A47="","",VLOOKUP(A47,バックデータ!$S$2:$T$24,2,FALSE))</f>
        <v/>
      </c>
      <c r="C47" s="4" t="str">
        <f>IF(A47="","",VLOOKUP(B47,バックデータ!$B$2:$D$9,3,FALSE))</f>
        <v/>
      </c>
      <c r="D47" s="67" t="str">
        <f t="shared" si="6"/>
        <v/>
      </c>
      <c r="E47" s="67" t="str">
        <f t="shared" si="8"/>
        <v/>
      </c>
      <c r="F47" s="45" t="str">
        <f t="shared" si="7"/>
        <v/>
      </c>
      <c r="G47" s="68" t="str">
        <f>IF(A47="","",IF(COUNTIF($G40,"*（実績）*"),"―",((C47+H47)*11000*12)))</f>
        <v/>
      </c>
      <c r="H47" s="62" t="str">
        <f>IF(A47="","",VLOOKUP(A47,バックデータ!$S$2:$V$24,4,FALSE))</f>
        <v/>
      </c>
    </row>
    <row r="48" spans="1:24" ht="16.899999999999999" customHeight="1">
      <c r="A48" s="200" t="s">
        <v>216</v>
      </c>
      <c r="B48" s="370"/>
      <c r="C48" s="370"/>
      <c r="D48" s="370"/>
      <c r="E48" s="202"/>
      <c r="F48" s="89" t="str">
        <f>IF(A$20="","",SUM(F42:F47))</f>
        <v/>
      </c>
      <c r="G48" s="263" t="str">
        <f>IF(A42="","",IF(COUNTIF($G40,"*（実績）*"),バックデータ!H60,SUM(G42:G47)))</f>
        <v/>
      </c>
      <c r="H48" s="90" t="str">
        <f>IF(H42="","",SUM(H42:H47))</f>
        <v/>
      </c>
    </row>
    <row r="49" spans="1:8" ht="16.899999999999999" customHeight="1" thickBot="1">
      <c r="A49" s="203" t="str">
        <f>IFERROR("【総価契約部分】"&amp;VLOOKUP($J$2,バックデータ!$AY$2:$BE$5,4,FALSE)&amp;"　合計","【総価契約部分】令和●年度　合計")</f>
        <v>【総価契約部分】令和9年度　合計</v>
      </c>
      <c r="B49" s="204"/>
      <c r="C49" s="204"/>
      <c r="D49" s="204"/>
      <c r="E49" s="205"/>
      <c r="F49" s="264"/>
      <c r="G49" s="265" t="str">
        <f>IF(F48="","",F48+G48)</f>
        <v/>
      </c>
      <c r="H49" s="64"/>
    </row>
    <row r="50" spans="1:8" ht="16.899999999999999" customHeight="1">
      <c r="A50" s="257" t="s">
        <v>198</v>
      </c>
      <c r="B50" s="258"/>
      <c r="C50" s="258"/>
      <c r="D50" s="258"/>
      <c r="E50" s="259"/>
      <c r="F50" s="292"/>
      <c r="G50" s="292"/>
      <c r="H50" s="293"/>
    </row>
    <row r="51" spans="1:8" ht="16.899999999999999" customHeight="1" thickBot="1">
      <c r="A51" s="282"/>
      <c r="B51" s="424" t="s">
        <v>199</v>
      </c>
      <c r="C51" s="425"/>
      <c r="D51" s="366" t="s">
        <v>73</v>
      </c>
      <c r="E51" s="296" t="s">
        <v>72</v>
      </c>
      <c r="F51" s="296" t="str">
        <f>IFERROR("【単価契約部分】"&amp;IF(OR(J$7="契約3年目",J$7="契約4年目",J$7="契約5年目"),VLOOKUP($J$2,バックデータ!$AY$2:$BE$5,4,FALSE)&amp;"　合計（実績）",VLOOKUP($J$2,バックデータ!$AY$2:$BE$5,4,FALSE)&amp;"　合計（税抜日額×人数×日数）"),"【単価契約部分】令和●年度　合計（税抜日額×人数×日数）")</f>
        <v>【単価契約部分】令和9年度　合計（税抜日額×人数×日数）</v>
      </c>
      <c r="G51" s="286"/>
      <c r="H51" s="285"/>
    </row>
    <row r="52" spans="1:8" ht="16.899999999999999" customHeight="1" thickTop="1">
      <c r="A52" s="363" t="s">
        <v>196</v>
      </c>
      <c r="B52" s="426" t="str">
        <f>IF(A$20="","",IF(J$7="契約1年目",K$30,バックデータ!A66))</f>
        <v/>
      </c>
      <c r="C52" s="427"/>
      <c r="D52" s="3" t="str">
        <f>IF(B52="","",H48)</f>
        <v/>
      </c>
      <c r="E52" s="267" t="str">
        <f>IF(B52="","",'支出負担行為整理簿（乙）別紙'!AF$20)</f>
        <v/>
      </c>
      <c r="F52" s="288"/>
      <c r="G52" s="289"/>
      <c r="H52" s="298" t="str">
        <f>IFERROR(IF($J$7="","",IF(COUNTIF(F51,"*（実績）*"),バックデータ!I66,B52*D52*E52)),"")</f>
        <v/>
      </c>
    </row>
    <row r="53" spans="1:8" ht="16.899999999999999" customHeight="1" thickBot="1">
      <c r="A53" s="364" t="s">
        <v>197</v>
      </c>
      <c r="B53" s="420" t="str">
        <f>IF(A$20="","",IF(J$7="契約1年目",K$31,バックデータ!A67))</f>
        <v/>
      </c>
      <c r="C53" s="421"/>
      <c r="D53" s="262" t="str">
        <f>IF(B53="","",H48)</f>
        <v/>
      </c>
      <c r="E53" s="268" t="str">
        <f>IF(B53="","",'支出負担行為整理簿（乙）別紙'!AF$21)</f>
        <v/>
      </c>
      <c r="F53" s="290"/>
      <c r="G53" s="291"/>
      <c r="H53" s="297" t="str">
        <f>IFERROR(IF($J$7="","",IF(COUNTIF(F51,"*（実績）*"),バックデータ!I67,B53*D53*E53)),"")</f>
        <v/>
      </c>
    </row>
    <row r="54" spans="1:8" ht="16.899999999999999" customHeight="1">
      <c r="A54" s="257" t="s">
        <v>201</v>
      </c>
      <c r="B54" s="258"/>
      <c r="C54" s="258"/>
      <c r="D54" s="258"/>
      <c r="E54" s="259"/>
      <c r="F54" s="292"/>
      <c r="G54" s="292"/>
      <c r="H54" s="293"/>
    </row>
    <row r="55" spans="1:8" ht="16.899999999999999" customHeight="1" thickBot="1">
      <c r="A55" s="299"/>
      <c r="B55" s="424" t="s">
        <v>199</v>
      </c>
      <c r="C55" s="425"/>
      <c r="D55" s="366" t="s">
        <v>73</v>
      </c>
      <c r="E55" s="93" t="s">
        <v>72</v>
      </c>
      <c r="F55" s="296" t="str">
        <f>IFERROR("【単価契約部分】"&amp;IF(OR(J$7="契約3年目",J$7="契約4年目",J$7="契約5年目"),VLOOKUP($J$2,バックデータ!$AY$2:$BE$5,4,FALSE)&amp;"　合計（実績）",VLOOKUP($J$2,バックデータ!$AY$2:$BE$5,4,FALSE)&amp;"　合計（税抜日額×人数×日数）"),"【単価契約部分】令和●年度　合計（税抜日額×人数×日数）")</f>
        <v>【単価契約部分】令和9年度　合計（税抜日額×人数×日数）</v>
      </c>
      <c r="G55" s="286"/>
      <c r="H55" s="285"/>
    </row>
    <row r="56" spans="1:8" ht="16.899999999999999" customHeight="1" thickTop="1">
      <c r="A56" s="363" t="s">
        <v>196</v>
      </c>
      <c r="B56" s="426" t="str">
        <f>IF(A$20="","",IF(J$7="契約1年目",K$34,バックデータ!A70))</f>
        <v/>
      </c>
      <c r="C56" s="427"/>
      <c r="D56" s="3" t="str">
        <f>IF(B56="","",1)</f>
        <v/>
      </c>
      <c r="E56" s="267" t="str">
        <f>IF(B56="","",'支出負担行為整理簿（乙）別紙'!AA$35+'支出負担行為整理簿（乙）別紙'!AA$36)</f>
        <v/>
      </c>
      <c r="F56" s="288"/>
      <c r="G56" s="289"/>
      <c r="H56" s="298" t="str">
        <f>IFERROR(IF($J$7="","",IF(COUNTIF(F55,"*（実績）*"),バックデータ!I70,B56*D56*E56)),"")</f>
        <v/>
      </c>
    </row>
    <row r="57" spans="1:8" ht="16.899999999999999" customHeight="1" thickBot="1">
      <c r="A57" s="364" t="s">
        <v>197</v>
      </c>
      <c r="B57" s="420" t="str">
        <f>IF(A$20="","",IF(J$7="契約1年目",K$35,バックデータ!A71))</f>
        <v/>
      </c>
      <c r="C57" s="421" t="str">
        <f>IF(C$20="","",IF(L$7="契約1年目",Q$36,バックデータ!C71))</f>
        <v/>
      </c>
      <c r="D57" s="262" t="str">
        <f>IF(B57="","",1)</f>
        <v/>
      </c>
      <c r="E57" s="268" t="str">
        <f>IF(B57="","",'支出負担行為整理簿（乙）別紙'!AA$38+'支出負担行為整理簿（乙）別紙'!AA$39)</f>
        <v/>
      </c>
      <c r="F57" s="290"/>
      <c r="G57" s="291"/>
      <c r="H57" s="297" t="str">
        <f>IFERROR(IF($J$7="","",IF(COUNTIF(F55,"*（実績）*"),バックデータ!I71,B57*D57*E57)),"")</f>
        <v/>
      </c>
    </row>
    <row r="58" spans="1:8" ht="16.899999999999999" customHeight="1" thickBot="1">
      <c r="A58" s="304" t="str">
        <f>IFERROR("【単価契約部分】"&amp;IF(OR(J$7="契約3年目",J$7="契約4年目",J$7="契約5年目"),VLOOKUP($J$2,バックデータ!$AY$2:$BE$5,4,FALSE)&amp;"　総合計（実績）",VLOOKUP($J$2,バックデータ!$AY$2:$BE$5,4,FALSE)&amp;"　総合計"),"【単価契約部分】令和●年度　総合計")</f>
        <v>【単価契約部分】令和9年度　総合計</v>
      </c>
      <c r="B58" s="305"/>
      <c r="C58" s="305"/>
      <c r="D58" s="305"/>
      <c r="E58" s="305"/>
      <c r="F58" s="305"/>
      <c r="G58" s="306"/>
      <c r="H58" s="307" t="str">
        <f>IFERROR(IF(G49="","",SUM(H52:H53,H56:H57)),"")</f>
        <v/>
      </c>
    </row>
    <row r="59" spans="1:8" ht="16.899999999999999" customHeight="1" thickBot="1">
      <c r="A59" s="304" t="str">
        <f>"【総価契約部分及び単価契約部分】"&amp;IFERROR(IF(OR(J$7="契約3年目",J$7="契約4年目",J$7="契約5年目"),VLOOKUP($J$2,バックデータ!$AY$2:$BE$5,4,FALSE)&amp;"　総合計（単価契約部分は実績）・・・（B）",VLOOKUP($J$2,バックデータ!$AY$2:$BE$5,4,FALSE)&amp;"　総合計・・・（B）"),"令和●年度　総合計・・・（B）")</f>
        <v>【総価契約部分及び単価契約部分】令和9年度　総合計・・・（B）</v>
      </c>
      <c r="B59" s="305"/>
      <c r="C59" s="305"/>
      <c r="D59" s="305"/>
      <c r="E59" s="305"/>
      <c r="F59" s="305"/>
      <c r="G59" s="422" t="str">
        <f>IFERROR(IF(G49="","",SUM(G49,H58)),"")</f>
        <v/>
      </c>
      <c r="H59" s="423"/>
    </row>
    <row r="60" spans="1:8" ht="16.899999999999999" hidden="1" customHeight="1"/>
    <row r="61" spans="1:8" ht="16.899999999999999" hidden="1" customHeight="1" thickBot="1">
      <c r="A61" s="1" t="str">
        <f>IFERROR(VLOOKUP($J$2,バックデータ!$AY$2:$BE$5,5,FALSE)&amp;"のびのびルーム","令和●年度のびのびルーム")</f>
        <v>令和10年度のびのびルーム</v>
      </c>
      <c r="B61" s="6"/>
      <c r="C61" s="6"/>
      <c r="D61" s="6"/>
      <c r="E61" s="6"/>
      <c r="F61" s="6"/>
      <c r="G61" s="6"/>
      <c r="H61" s="6"/>
    </row>
    <row r="62" spans="1:8" ht="16.899999999999999" hidden="1" customHeight="1">
      <c r="A62" s="440" t="s">
        <v>0</v>
      </c>
      <c r="B62" s="428" t="s">
        <v>98</v>
      </c>
      <c r="C62" s="430" t="s">
        <v>10</v>
      </c>
      <c r="D62" s="432" t="s">
        <v>217</v>
      </c>
      <c r="E62" s="432" t="s">
        <v>218</v>
      </c>
      <c r="F62" s="434" t="s">
        <v>219</v>
      </c>
      <c r="G62" s="436" t="str">
        <f>IF(OR(,J$7="契約4年目",J$7="契約5年目"),"処遇改善"&amp;CHAR(10)&amp;"（実績）","処遇改善")</f>
        <v>処遇改善</v>
      </c>
      <c r="H62" s="438" t="s">
        <v>7</v>
      </c>
    </row>
    <row r="63" spans="1:8" ht="16.899999999999999" hidden="1" customHeight="1" thickBot="1">
      <c r="A63" s="441"/>
      <c r="B63" s="429"/>
      <c r="C63" s="431"/>
      <c r="D63" s="433"/>
      <c r="E63" s="433"/>
      <c r="F63" s="435"/>
      <c r="G63" s="437"/>
      <c r="H63" s="439"/>
    </row>
    <row r="64" spans="1:8" ht="16.899999999999999" hidden="1" customHeight="1" thickTop="1">
      <c r="A64" s="369" t="str">
        <f t="shared" ref="A64:A69" si="9">IF(A42="","",A42)</f>
        <v/>
      </c>
      <c r="B64" s="19" t="str">
        <f>IF(A64="","",VLOOKUP(A64,バックデータ!$Z$2:$AA$24,2,FALSE))</f>
        <v/>
      </c>
      <c r="C64" s="3" t="str">
        <f>IF(A64="","",VLOOKUP(B64,バックデータ!$B$2:$D$9,3,FALSE))</f>
        <v/>
      </c>
      <c r="D64" s="66" t="str">
        <f t="shared" ref="D64:D69" si="10">IF(A64="","",VLOOKUP(B64,$K$18:$Q$25,4,FALSE))</f>
        <v/>
      </c>
      <c r="E64" s="66" t="str">
        <f>IF(A64="","",VLOOKUP($B64,$K$18:$Q$25,7,FALSE))</f>
        <v/>
      </c>
      <c r="F64" s="46" t="str">
        <f t="shared" ref="F64:F69" si="11">IF(A64="","",SUM(D64:E64))</f>
        <v/>
      </c>
      <c r="G64" s="254" t="str">
        <f>IF(A64="","",IF(COUNTIF($G62,"*（実績）*"),"―",((C64+H64)*11000*12)))</f>
        <v/>
      </c>
      <c r="H64" s="62" t="str">
        <f>IF(A64="","",VLOOKUP(A64,バックデータ!$Z$2:$AC$24,4,FALSE))</f>
        <v/>
      </c>
    </row>
    <row r="65" spans="1:21" ht="16.899999999999999" hidden="1" customHeight="1">
      <c r="A65" s="365" t="str">
        <f t="shared" si="9"/>
        <v/>
      </c>
      <c r="B65" s="19" t="str">
        <f>IF(A65="","",VLOOKUP(A65,バックデータ!$Z$2:$AA$24,2,FALSE))</f>
        <v/>
      </c>
      <c r="C65" s="4" t="str">
        <f>IF(A65="","",VLOOKUP(B65,バックデータ!$B$2:$D$9,3,FALSE))</f>
        <v/>
      </c>
      <c r="D65" s="67" t="str">
        <f t="shared" si="10"/>
        <v/>
      </c>
      <c r="E65" s="67" t="str">
        <f>IF(A65="","",VLOOKUP($B65,$K$18:$Q$25,7,FALSE))</f>
        <v/>
      </c>
      <c r="F65" s="45" t="str">
        <f t="shared" si="11"/>
        <v/>
      </c>
      <c r="G65" s="68" t="str">
        <f>IF(A65="","",IF(COUNTIF($G62,"*（実績）*"),"―",((C65+H65)*11000*12)))</f>
        <v/>
      </c>
      <c r="H65" s="62" t="str">
        <f>IF(A65="","",VLOOKUP(A65,バックデータ!$Z$2:$AC$24,4,FALSE))</f>
        <v/>
      </c>
    </row>
    <row r="66" spans="1:21" ht="16.899999999999999" hidden="1" customHeight="1">
      <c r="A66" s="365" t="str">
        <f t="shared" si="9"/>
        <v/>
      </c>
      <c r="B66" s="19" t="str">
        <f>IF(A66="","",VLOOKUP(A66,バックデータ!$Z$2:$AA$24,2,FALSE))</f>
        <v/>
      </c>
      <c r="C66" s="3" t="str">
        <f>IF(A66="","",VLOOKUP(B66,バックデータ!$B$2:$D$9,3,FALSE))</f>
        <v/>
      </c>
      <c r="D66" s="66" t="str">
        <f t="shared" si="10"/>
        <v/>
      </c>
      <c r="E66" s="67" t="str">
        <f t="shared" ref="E66:E69" si="12">IF(A66="","",VLOOKUP($B66,$K$18:$Q$25,7,FALSE))</f>
        <v/>
      </c>
      <c r="F66" s="45" t="str">
        <f t="shared" si="11"/>
        <v/>
      </c>
      <c r="G66" s="254" t="str">
        <f>IF(A66="","",IF(COUNTIF($G62,"*（実績）*"),"―",((C66+H66)*11000*12)))</f>
        <v/>
      </c>
      <c r="H66" s="62" t="str">
        <f>IF(A66="","",VLOOKUP(A66,バックデータ!$Z$2:$AC$24,4,FALSE))</f>
        <v/>
      </c>
    </row>
    <row r="67" spans="1:21" ht="16.899999999999999" hidden="1" customHeight="1">
      <c r="A67" s="365" t="str">
        <f t="shared" si="9"/>
        <v/>
      </c>
      <c r="B67" s="19" t="str">
        <f>IF(A67="","",VLOOKUP(A67,バックデータ!$Z$2:$AA$24,2,FALSE))</f>
        <v/>
      </c>
      <c r="C67" s="4" t="str">
        <f>IF(A67="","",VLOOKUP(B67,バックデータ!$B$2:$D$9,3,FALSE))</f>
        <v/>
      </c>
      <c r="D67" s="67" t="str">
        <f t="shared" si="10"/>
        <v/>
      </c>
      <c r="E67" s="67" t="str">
        <f t="shared" si="12"/>
        <v/>
      </c>
      <c r="F67" s="45" t="str">
        <f t="shared" si="11"/>
        <v/>
      </c>
      <c r="G67" s="68" t="str">
        <f>IF(A67="","",IF(COUNTIF($G62,"*（実績）*"),"―",((C67+H67)*11000*12)))</f>
        <v/>
      </c>
      <c r="H67" s="62" t="str">
        <f>IF(A67="","",VLOOKUP(A67,バックデータ!$Z$2:$AC$24,4,FALSE))</f>
        <v/>
      </c>
    </row>
    <row r="68" spans="1:21" ht="16.899999999999999" hidden="1" customHeight="1">
      <c r="A68" s="365" t="str">
        <f t="shared" si="9"/>
        <v/>
      </c>
      <c r="B68" s="19" t="str">
        <f>IF(A68="","",VLOOKUP(A68,バックデータ!$Z$2:$AA$24,2,FALSE))</f>
        <v/>
      </c>
      <c r="C68" s="3" t="str">
        <f>IF(A68="","",VLOOKUP(B68,バックデータ!$B$2:$D$9,3,FALSE))</f>
        <v/>
      </c>
      <c r="D68" s="66" t="str">
        <f t="shared" si="10"/>
        <v/>
      </c>
      <c r="E68" s="67" t="str">
        <f t="shared" si="12"/>
        <v/>
      </c>
      <c r="F68" s="45" t="str">
        <f t="shared" si="11"/>
        <v/>
      </c>
      <c r="G68" s="254" t="str">
        <f>IF(A68="","",IF(COUNTIF($G62,"*（実績）*"),"―",((C68+H68)*11000*12)))</f>
        <v/>
      </c>
      <c r="H68" s="62" t="str">
        <f>IF(A68="","",VLOOKUP(A68,バックデータ!$Z$2:$AC$24,4,FALSE))</f>
        <v/>
      </c>
    </row>
    <row r="69" spans="1:21" ht="16.899999999999999" hidden="1" customHeight="1">
      <c r="A69" s="365" t="str">
        <f t="shared" si="9"/>
        <v/>
      </c>
      <c r="B69" s="19" t="str">
        <f>IF(A69="","",VLOOKUP(A69,バックデータ!$Z$2:$AA$24,2,FALSE))</f>
        <v/>
      </c>
      <c r="C69" s="4" t="str">
        <f>IF(A69="","",VLOOKUP(B69,バックデータ!$B$2:$D$9,3,FALSE))</f>
        <v/>
      </c>
      <c r="D69" s="67" t="str">
        <f t="shared" si="10"/>
        <v/>
      </c>
      <c r="E69" s="67" t="str">
        <f t="shared" si="12"/>
        <v/>
      </c>
      <c r="F69" s="45" t="str">
        <f t="shared" si="11"/>
        <v/>
      </c>
      <c r="G69" s="68" t="str">
        <f>IF(A69="","",IF(COUNTIF($G62,"*（実績）*"),"―",((C69+H69)*11000*12)))</f>
        <v/>
      </c>
      <c r="H69" s="62" t="str">
        <f>IF(A69="","",VLOOKUP(A69,バックデータ!$Z$2:$AC$24,4,FALSE))</f>
        <v/>
      </c>
    </row>
    <row r="70" spans="1:21" ht="16.899999999999999" hidden="1" customHeight="1">
      <c r="A70" s="200" t="s">
        <v>117</v>
      </c>
      <c r="B70" s="370"/>
      <c r="C70" s="370"/>
      <c r="D70" s="370"/>
      <c r="E70" s="202"/>
      <c r="F70" s="89" t="str">
        <f>IF(A$20="","",SUM(F64:F69))</f>
        <v/>
      </c>
      <c r="G70" s="263" t="str">
        <f>IF(A64="","",IF(COUNTIF($G62,"*（実績）*"),バックデータ!H88,SUM(G64:G69)))</f>
        <v/>
      </c>
      <c r="H70" s="90" t="str">
        <f>IF(H64="","",SUM(H64:H69))</f>
        <v/>
      </c>
    </row>
    <row r="71" spans="1:21" ht="16.899999999999999" hidden="1" customHeight="1" thickBot="1">
      <c r="A71" s="203" t="str">
        <f>IFERROR("【総価契約部分】"&amp;VLOOKUP($J$2,バックデータ!$AY$2:$BE$5,5,FALSE)&amp;"　合計（税抜）","【総価契約部分】令和●年度　合計（税抜）")</f>
        <v>【総価契約部分】令和10年度　合計（税抜）</v>
      </c>
      <c r="B71" s="204"/>
      <c r="C71" s="204"/>
      <c r="D71" s="204"/>
      <c r="E71" s="205"/>
      <c r="F71" s="264"/>
      <c r="G71" s="265" t="str">
        <f>IF(F70="","",F70+G70)</f>
        <v/>
      </c>
      <c r="H71" s="64"/>
    </row>
    <row r="72" spans="1:21" ht="16.899999999999999" hidden="1" customHeight="1">
      <c r="A72" s="257" t="s">
        <v>198</v>
      </c>
      <c r="B72" s="258"/>
      <c r="C72" s="258"/>
      <c r="D72" s="258"/>
      <c r="E72" s="259"/>
      <c r="F72" s="292"/>
      <c r="G72" s="292"/>
      <c r="H72" s="293"/>
    </row>
    <row r="73" spans="1:21" ht="16.899999999999999" hidden="1" customHeight="1" thickBot="1">
      <c r="A73" s="282"/>
      <c r="B73" s="424" t="s">
        <v>199</v>
      </c>
      <c r="C73" s="425"/>
      <c r="D73" s="366" t="s">
        <v>73</v>
      </c>
      <c r="E73" s="296" t="s">
        <v>72</v>
      </c>
      <c r="F73" s="296" t="str">
        <f>IFERROR("【単価契約部分】"&amp;IF(OR(J$7="契約4年目",J$7="契約5年目"),VLOOKUP($J$2,バックデータ!$AY$2:$BE$5,5,FALSE)&amp;"　合計（実績）",VLOOKUP($J$2,バックデータ!$AY$2:$BE$5,5,FALSE)&amp;"　合計（税抜日額×人数×日数）"),"【単価契約部分】令和●年度　合計（税抜日額×人数×日数）")</f>
        <v>【単価契約部分】令和10年度　合計（税抜日額×人数×日数）</v>
      </c>
      <c r="G73" s="286"/>
      <c r="H73" s="285"/>
      <c r="U73" s="5"/>
    </row>
    <row r="74" spans="1:21" ht="16.899999999999999" hidden="1" customHeight="1" thickTop="1">
      <c r="A74" s="363" t="s">
        <v>196</v>
      </c>
      <c r="B74" s="426" t="str">
        <f>IF(A$20="","",IF(J$7="契約1年目",K$30,バックデータ!A94))</f>
        <v/>
      </c>
      <c r="C74" s="427"/>
      <c r="D74" s="3" t="str">
        <f>IF(B74="","",H70)</f>
        <v/>
      </c>
      <c r="E74" s="267" t="str">
        <f>IF(B74="","",'支出負担行為整理簿（乙）別紙'!AF$20)</f>
        <v/>
      </c>
      <c r="F74" s="288"/>
      <c r="G74" s="289"/>
      <c r="H74" s="298" t="str">
        <f>IFERROR(IF($J$7="","",IF(COUNTIF(F73,"*（実績）*"),バックデータ!I94,B74*D74*E74)),"")</f>
        <v/>
      </c>
      <c r="U74" s="5"/>
    </row>
    <row r="75" spans="1:21" ht="16.899999999999999" hidden="1" customHeight="1" thickBot="1">
      <c r="A75" s="364" t="s">
        <v>197</v>
      </c>
      <c r="B75" s="420" t="str">
        <f>IF(A$20="","",IF(J$7="契約1年目",K$31,バックデータ!A95))</f>
        <v/>
      </c>
      <c r="C75" s="421"/>
      <c r="D75" s="262" t="str">
        <f>IF(B75="","",H70)</f>
        <v/>
      </c>
      <c r="E75" s="268" t="str">
        <f>IF(B75="","",'支出負担行為整理簿（乙）別紙'!AF$21)</f>
        <v/>
      </c>
      <c r="F75" s="290"/>
      <c r="G75" s="291"/>
      <c r="H75" s="297" t="str">
        <f>IFERROR(IF($J$7="","",IF(COUNTIF(F73,"*（実績）*"),バックデータ!I95,B75*D75*E75)),"")</f>
        <v/>
      </c>
      <c r="U75" s="5"/>
    </row>
    <row r="76" spans="1:21" ht="16.899999999999999" hidden="1" customHeight="1">
      <c r="A76" s="257" t="s">
        <v>201</v>
      </c>
      <c r="B76" s="258"/>
      <c r="C76" s="258"/>
      <c r="D76" s="258"/>
      <c r="E76" s="259"/>
      <c r="F76" s="292"/>
      <c r="G76" s="292"/>
      <c r="H76" s="293"/>
      <c r="T76" s="11"/>
      <c r="U76" s="5"/>
    </row>
    <row r="77" spans="1:21" ht="16.899999999999999" hidden="1" customHeight="1" thickBot="1">
      <c r="A77" s="299"/>
      <c r="B77" s="424" t="s">
        <v>199</v>
      </c>
      <c r="C77" s="425"/>
      <c r="D77" s="366" t="s">
        <v>73</v>
      </c>
      <c r="E77" s="93" t="s">
        <v>72</v>
      </c>
      <c r="F77" s="296" t="str">
        <f>IFERROR("【単価契約部分】"&amp;IF(OR(J$7="契約4年目",J$7="契約5年目"),VLOOKUP($J$2,バックデータ!$AY$2:$BE$5,5,FALSE)&amp;"　合計（実績）",VLOOKUP($J$2,バックデータ!$AY$2:$BE$5,5,FALSE)&amp;"　合計（税抜日額×人数×日数）"),"【単価契約部分】令和●年度　合計（税抜日額×人数×日数）")</f>
        <v>【単価契約部分】令和10年度　合計（税抜日額×人数×日数）</v>
      </c>
      <c r="G77" s="286"/>
      <c r="H77" s="285"/>
      <c r="T77" s="11"/>
      <c r="U77" s="5"/>
    </row>
    <row r="78" spans="1:21" ht="16.899999999999999" hidden="1" customHeight="1" thickTop="1">
      <c r="A78" s="363" t="s">
        <v>196</v>
      </c>
      <c r="B78" s="426" t="str">
        <f>IF(A$20="","",IF(J$7="契約1年目",K$34,バックデータ!A98))</f>
        <v/>
      </c>
      <c r="C78" s="427"/>
      <c r="D78" s="3" t="str">
        <f>IF(B78="","",1)</f>
        <v/>
      </c>
      <c r="E78" s="267" t="str">
        <f>IF(B78="","",'支出負担行為整理簿（乙）別紙'!AA$35+'支出負担行為整理簿（乙）別紙'!AA$36)</f>
        <v/>
      </c>
      <c r="F78" s="288"/>
      <c r="G78" s="289"/>
      <c r="H78" s="298" t="str">
        <f>IFERROR(IF($J$7="","",IF(COUNTIF(F77,"*（実績）*"),バックデータ!I98,B78*D78*E78)),"")</f>
        <v/>
      </c>
      <c r="T78" s="11"/>
      <c r="U78" s="5"/>
    </row>
    <row r="79" spans="1:21" ht="16.899999999999999" hidden="1" customHeight="1" thickBot="1">
      <c r="A79" s="364" t="s">
        <v>197</v>
      </c>
      <c r="B79" s="420" t="str">
        <f>IF(A$20="","",IF(J$7="契約1年目",K$35,バックデータ!A99))</f>
        <v/>
      </c>
      <c r="C79" s="421" t="str">
        <f>IF(C$20="","",IF(L$7="契約1年目",Q$36,バックデータ!C93))</f>
        <v/>
      </c>
      <c r="D79" s="262" t="str">
        <f>IF(B79="","",1)</f>
        <v/>
      </c>
      <c r="E79" s="268" t="str">
        <f>IF(B79="","",'支出負担行為整理簿（乙）別紙'!AA$38+'支出負担行為整理簿（乙）別紙'!AA$39)</f>
        <v/>
      </c>
      <c r="F79" s="290"/>
      <c r="G79" s="291"/>
      <c r="H79" s="297" t="str">
        <f>IFERROR(IF($J$7="","",IF(COUNTIF(F77,"*（実績）*"),バックデータ!I99,B79*D79*E79)),"")</f>
        <v/>
      </c>
      <c r="T79" s="11"/>
    </row>
    <row r="80" spans="1:21" ht="16.899999999999999" hidden="1" customHeight="1" thickBot="1">
      <c r="A80" s="304" t="str">
        <f>IFERROR("【単価契約部分】"&amp;IF(OR(J$7="契約4年目",J$7="契約5年目"),VLOOKUP($J$2,バックデータ!$AY$2:$BE$5,5,FALSE)&amp;"　総合計（実績）",VLOOKUP($J$2,バックデータ!$AY$2:$BE$5,5,FALSE)&amp;"　総合計"),"【単価契約部分】令和●年度　総合計")</f>
        <v>【単価契約部分】令和10年度　総合計</v>
      </c>
      <c r="B80" s="305"/>
      <c r="C80" s="305"/>
      <c r="D80" s="305"/>
      <c r="E80" s="305"/>
      <c r="F80" s="305"/>
      <c r="G80" s="367"/>
      <c r="H80" s="368" t="str">
        <f>IFERROR(IF(G71="","",SUM(H74:H75,H78:H79)),"")</f>
        <v/>
      </c>
      <c r="T80" s="11"/>
    </row>
    <row r="81" spans="1:20" ht="16.899999999999999" hidden="1" customHeight="1" thickBot="1">
      <c r="A81" s="304" t="str">
        <f>"【総価契約部分及び単価契約部分】"&amp;IFERROR(IF(OR(J$7="契約4年目",J$7="契約5年目"),VLOOKUP($J$2,バックデータ!$AY$2:$BE$5,5,FALSE)&amp;"　総合計（単価契約部分は実績）・・・（B）",VLOOKUP($J$2,バックデータ!$AY$2:$BE$5,5,FALSE)&amp;"　総合計・・・（B）"),"令和●年度　総合計・・・（B）")</f>
        <v>【総価契約部分及び単価契約部分】令和10年度　総合計・・・（B）</v>
      </c>
      <c r="B81" s="305"/>
      <c r="C81" s="305"/>
      <c r="D81" s="305"/>
      <c r="E81" s="305"/>
      <c r="F81" s="305"/>
      <c r="G81" s="422" t="str">
        <f>IFERROR(IF(G71="","",SUM(G71,H80)),"")</f>
        <v/>
      </c>
      <c r="H81" s="423"/>
      <c r="T81" s="11"/>
    </row>
    <row r="82" spans="1:20" ht="16.899999999999999" hidden="1" customHeight="1">
      <c r="S82" s="6"/>
      <c r="T82" s="6"/>
    </row>
    <row r="83" spans="1:20" ht="16.899999999999999" hidden="1" customHeight="1" thickBot="1">
      <c r="A83" s="1" t="str">
        <f>IFERROR(VLOOKUP($J$2,バックデータ!$AY$2:$BE$5,6,FALSE)&amp;"のびのびルーム","令和●年度のびのびルーム")</f>
        <v>令和11年度のびのびルーム</v>
      </c>
      <c r="B83" s="6"/>
      <c r="C83" s="6"/>
      <c r="D83" s="6"/>
      <c r="E83" s="6"/>
      <c r="F83" s="6"/>
      <c r="G83" s="6"/>
      <c r="H83" s="6"/>
    </row>
    <row r="84" spans="1:20" ht="16.899999999999999" hidden="1" customHeight="1">
      <c r="A84" s="440" t="s">
        <v>0</v>
      </c>
      <c r="B84" s="428" t="s">
        <v>98</v>
      </c>
      <c r="C84" s="430" t="s">
        <v>10</v>
      </c>
      <c r="D84" s="432" t="s">
        <v>217</v>
      </c>
      <c r="E84" s="432" t="s">
        <v>218</v>
      </c>
      <c r="F84" s="434" t="s">
        <v>219</v>
      </c>
      <c r="G84" s="436" t="str">
        <f>IF(OR(J$7="契約5年目"),"処遇改善"&amp;CHAR(10)&amp;"（実績）","処遇改善")</f>
        <v>処遇改善</v>
      </c>
      <c r="H84" s="438" t="s">
        <v>7</v>
      </c>
    </row>
    <row r="85" spans="1:20" ht="16.899999999999999" hidden="1" customHeight="1" thickBot="1">
      <c r="A85" s="441"/>
      <c r="B85" s="429"/>
      <c r="C85" s="431"/>
      <c r="D85" s="433"/>
      <c r="E85" s="433"/>
      <c r="F85" s="435"/>
      <c r="G85" s="437"/>
      <c r="H85" s="439"/>
    </row>
    <row r="86" spans="1:20" ht="16.899999999999999" hidden="1" customHeight="1" thickTop="1">
      <c r="A86" s="369" t="str">
        <f t="shared" ref="A86:A91" si="13">IF(A64="","",A64)</f>
        <v/>
      </c>
      <c r="B86" s="19" t="str">
        <f>IF(A86="","",VLOOKUP(A86,バックデータ!$AG$2:$AH$24,2,FALSE))</f>
        <v/>
      </c>
      <c r="C86" s="3" t="str">
        <f>IF(A86="","",VLOOKUP(B86,バックデータ!$B$2:$D$9,3,FALSE))</f>
        <v/>
      </c>
      <c r="D86" s="66" t="str">
        <f t="shared" ref="D86:D91" si="14">IF(A86="","",VLOOKUP(B86,$K$18:$Q$25,4,FALSE))</f>
        <v/>
      </c>
      <c r="E86" s="66" t="str">
        <f>IF(A86="","",VLOOKUP($B86,$K$18:$Q$25,7,FALSE))</f>
        <v/>
      </c>
      <c r="F86" s="46" t="str">
        <f t="shared" ref="F86:F91" si="15">IF(A86="","",SUM(D86:E86))</f>
        <v/>
      </c>
      <c r="G86" s="371" t="str">
        <f>IF(A86="","",IF(COUNTIF($G84,"*（実績）*"),"―",((C86+H86)*11000*12)))</f>
        <v/>
      </c>
      <c r="H86" s="62" t="str">
        <f>IF(A86="","",VLOOKUP(A86,バックデータ!$AG$2:$AJ$24,4,FALSE))</f>
        <v/>
      </c>
    </row>
    <row r="87" spans="1:20" ht="16.899999999999999" hidden="1" customHeight="1">
      <c r="A87" s="365" t="str">
        <f t="shared" si="13"/>
        <v/>
      </c>
      <c r="B87" s="19" t="str">
        <f>IF(A87="","",VLOOKUP(A87,バックデータ!$AG$2:$AH$24,2,FALSE))</f>
        <v/>
      </c>
      <c r="C87" s="4" t="str">
        <f>IF(A87="","",VLOOKUP(B87,バックデータ!$B$2:$D$9,3,FALSE))</f>
        <v/>
      </c>
      <c r="D87" s="67" t="str">
        <f t="shared" si="14"/>
        <v/>
      </c>
      <c r="E87" s="67" t="str">
        <f>IF(A87="","",VLOOKUP($B87,$K$18:$Q$25,7,FALSE))</f>
        <v/>
      </c>
      <c r="F87" s="45" t="str">
        <f t="shared" si="15"/>
        <v/>
      </c>
      <c r="G87" s="68" t="str">
        <f>IF(A87="","",IF(COUNTIF($G84,"*（実績）*"),"―",((C87+H87)*11000*12)))</f>
        <v/>
      </c>
      <c r="H87" s="62" t="str">
        <f>IF(A87="","",VLOOKUP(A87,バックデータ!$AG$2:$AJ$24,4,FALSE))</f>
        <v/>
      </c>
    </row>
    <row r="88" spans="1:20" ht="16.899999999999999" hidden="1" customHeight="1">
      <c r="A88" s="365" t="str">
        <f t="shared" si="13"/>
        <v/>
      </c>
      <c r="B88" s="19" t="str">
        <f>IF(A88="","",VLOOKUP(A88,バックデータ!$AG$2:$AH$24,2,FALSE))</f>
        <v/>
      </c>
      <c r="C88" s="3" t="str">
        <f>IF(A88="","",VLOOKUP(B88,バックデータ!$B$2:$D$9,3,FALSE))</f>
        <v/>
      </c>
      <c r="D88" s="66" t="str">
        <f t="shared" si="14"/>
        <v/>
      </c>
      <c r="E88" s="67" t="str">
        <f t="shared" ref="E88:E91" si="16">IF(A88="","",VLOOKUP($B88,$K$18:$Q$25,7,FALSE))</f>
        <v/>
      </c>
      <c r="F88" s="45" t="str">
        <f t="shared" si="15"/>
        <v/>
      </c>
      <c r="G88" s="254" t="str">
        <f>IF(A88="","",IF(COUNTIF($G84,"*（実績）*"),"―",((C88+H88)*11000*12)))</f>
        <v/>
      </c>
      <c r="H88" s="62" t="str">
        <f>IF(A88="","",VLOOKUP(A88,バックデータ!$AG$2:$AJ$24,4,FALSE))</f>
        <v/>
      </c>
    </row>
    <row r="89" spans="1:20" ht="16.899999999999999" hidden="1" customHeight="1">
      <c r="A89" s="365" t="str">
        <f t="shared" si="13"/>
        <v/>
      </c>
      <c r="B89" s="19" t="str">
        <f>IF(A89="","",VLOOKUP(A89,バックデータ!$AG$2:$AH$24,2,FALSE))</f>
        <v/>
      </c>
      <c r="C89" s="4" t="str">
        <f>IF(A89="","",VLOOKUP(B89,バックデータ!$B$2:$D$9,3,FALSE))</f>
        <v/>
      </c>
      <c r="D89" s="67" t="str">
        <f t="shared" si="14"/>
        <v/>
      </c>
      <c r="E89" s="67" t="str">
        <f t="shared" si="16"/>
        <v/>
      </c>
      <c r="F89" s="45" t="str">
        <f t="shared" si="15"/>
        <v/>
      </c>
      <c r="G89" s="68" t="str">
        <f>IF(A89="","",IF(COUNTIF($G84,"*（実績）*"),"―",((C89+H89)*11000*12)))</f>
        <v/>
      </c>
      <c r="H89" s="62" t="str">
        <f>IF(A89="","",VLOOKUP(A89,バックデータ!$AG$2:$AJ$24,4,FALSE))</f>
        <v/>
      </c>
    </row>
    <row r="90" spans="1:20" ht="16.899999999999999" hidden="1" customHeight="1">
      <c r="A90" s="365" t="str">
        <f t="shared" si="13"/>
        <v/>
      </c>
      <c r="B90" s="19" t="str">
        <f>IF(A90="","",VLOOKUP(A90,バックデータ!$AG$2:$AH$24,2,FALSE))</f>
        <v/>
      </c>
      <c r="C90" s="3" t="str">
        <f>IF(A90="","",VLOOKUP(B90,バックデータ!$B$2:$D$9,3,FALSE))</f>
        <v/>
      </c>
      <c r="D90" s="66" t="str">
        <f t="shared" si="14"/>
        <v/>
      </c>
      <c r="E90" s="67" t="str">
        <f t="shared" si="16"/>
        <v/>
      </c>
      <c r="F90" s="45" t="str">
        <f t="shared" si="15"/>
        <v/>
      </c>
      <c r="G90" s="254" t="str">
        <f>IF(A90="","",IF(COUNTIF($G84,"*（実績）*"),"―",((C90+H90)*11000*12)))</f>
        <v/>
      </c>
      <c r="H90" s="62" t="str">
        <f>IF(A90="","",VLOOKUP(A90,バックデータ!$AG$2:$AJ$24,4,FALSE))</f>
        <v/>
      </c>
    </row>
    <row r="91" spans="1:20" ht="16.899999999999999" hidden="1" customHeight="1">
      <c r="A91" s="365" t="str">
        <f t="shared" si="13"/>
        <v/>
      </c>
      <c r="B91" s="19" t="str">
        <f>IF(A91="","",VLOOKUP(A91,バックデータ!$AG$2:$AH$24,2,FALSE))</f>
        <v/>
      </c>
      <c r="C91" s="4" t="str">
        <f>IF(A91="","",VLOOKUP(B91,バックデータ!$B$2:$D$9,3,FALSE))</f>
        <v/>
      </c>
      <c r="D91" s="67" t="str">
        <f t="shared" si="14"/>
        <v/>
      </c>
      <c r="E91" s="67" t="str">
        <f t="shared" si="16"/>
        <v/>
      </c>
      <c r="F91" s="45" t="str">
        <f t="shared" si="15"/>
        <v/>
      </c>
      <c r="G91" s="68" t="str">
        <f>IF(A91="","",IF(COUNTIF($G84,"*（実績）*"),"―",((C91+H91)*11000*12)))</f>
        <v/>
      </c>
      <c r="H91" s="62" t="str">
        <f>IF(A91="","",VLOOKUP(A91,バックデータ!$AG$2:$AJ$24,4,FALSE))</f>
        <v/>
      </c>
    </row>
    <row r="92" spans="1:20" ht="16.899999999999999" hidden="1" customHeight="1">
      <c r="A92" s="200" t="s">
        <v>117</v>
      </c>
      <c r="B92" s="370"/>
      <c r="C92" s="370"/>
      <c r="D92" s="370"/>
      <c r="E92" s="202"/>
      <c r="F92" s="89" t="str">
        <f>IF(A$20="","",SUM(F86:F91))</f>
        <v/>
      </c>
      <c r="G92" s="263" t="str">
        <f>IF(A86="","",IF(COUNTIF($G84,"*（実績）*"),バックデータ!H116,SUM(G86:G91)))</f>
        <v/>
      </c>
      <c r="H92" s="90" t="str">
        <f>IF(H86="","",SUM(H86:H91))</f>
        <v/>
      </c>
    </row>
    <row r="93" spans="1:20" ht="16.899999999999999" hidden="1" customHeight="1" thickBot="1">
      <c r="A93" s="203" t="str">
        <f>IFERROR("【総価契約部分】"&amp;VLOOKUP($J$2,バックデータ!$AY$2:$BE$5,6,FALSE)&amp;"　合計（税抜）","【総価契約部分】令和●年度　合計（税抜）")</f>
        <v>【総価契約部分】令和11年度　合計（税抜）</v>
      </c>
      <c r="B93" s="204"/>
      <c r="C93" s="204"/>
      <c r="D93" s="204"/>
      <c r="E93" s="205"/>
      <c r="F93" s="264"/>
      <c r="G93" s="265" t="str">
        <f>IF(F92="","",F92+G92)</f>
        <v/>
      </c>
      <c r="H93" s="64"/>
    </row>
    <row r="94" spans="1:20" ht="16.899999999999999" hidden="1" customHeight="1">
      <c r="A94" s="257" t="s">
        <v>198</v>
      </c>
      <c r="B94" s="258"/>
      <c r="C94" s="258"/>
      <c r="D94" s="258"/>
      <c r="E94" s="259"/>
      <c r="F94" s="292"/>
      <c r="G94" s="292"/>
      <c r="H94" s="293"/>
    </row>
    <row r="95" spans="1:20" ht="16.899999999999999" hidden="1" customHeight="1" thickBot="1">
      <c r="A95" s="282"/>
      <c r="B95" s="424" t="s">
        <v>199</v>
      </c>
      <c r="C95" s="425"/>
      <c r="D95" s="366" t="s">
        <v>73</v>
      </c>
      <c r="E95" s="296" t="s">
        <v>72</v>
      </c>
      <c r="F95" s="296" t="str">
        <f>IFERROR("【単価契約部分】"&amp;IF(OR(J$7="契約5年目"),VLOOKUP($J$2,バックデータ!$AY$2:$BE$5,6,FALSE)&amp;"　合計（実績）",VLOOKUP($J$2,バックデータ!$AY$2:$BE$5,6,FALSE)&amp;"　合計（税抜日額×人数×日数）"),"【単価契約部分】令和●年度　合計（税抜日額×人数×日数）")</f>
        <v>【単価契約部分】令和11年度　合計（税抜日額×人数×日数）</v>
      </c>
      <c r="G95" s="286"/>
      <c r="H95" s="285"/>
    </row>
    <row r="96" spans="1:20" ht="16.899999999999999" hidden="1" customHeight="1" thickTop="1">
      <c r="A96" s="363" t="s">
        <v>196</v>
      </c>
      <c r="B96" s="426" t="str">
        <f>IF(A$20="","",IF(J$7="契約1年目",K$30,バックデータ!A122))</f>
        <v/>
      </c>
      <c r="C96" s="427"/>
      <c r="D96" s="3" t="str">
        <f>IF(B96="","",H92)</f>
        <v/>
      </c>
      <c r="E96" s="267" t="str">
        <f>IF(B96="","",'支出負担行為整理簿（乙）別紙'!AF$20)</f>
        <v/>
      </c>
      <c r="F96" s="288"/>
      <c r="G96" s="289"/>
      <c r="H96" s="298" t="str">
        <f>IFERROR(IF($J$7="","",IF(COUNTIF(F95,"*（実績）*"),バックデータ!I122,B96*D96*E96)),"")</f>
        <v/>
      </c>
    </row>
    <row r="97" spans="1:21" ht="16.899999999999999" hidden="1" customHeight="1" thickBot="1">
      <c r="A97" s="364" t="s">
        <v>197</v>
      </c>
      <c r="B97" s="420" t="str">
        <f>IF(A$20="","",IF(J$7="契約1年目",K$31,バックデータ!A123))</f>
        <v/>
      </c>
      <c r="C97" s="421"/>
      <c r="D97" s="262" t="str">
        <f>IF(B97="","",H92)</f>
        <v/>
      </c>
      <c r="E97" s="268" t="str">
        <f>IF(B97="","",'支出負担行為整理簿（乙）別紙'!AF$21)</f>
        <v/>
      </c>
      <c r="F97" s="290"/>
      <c r="G97" s="291"/>
      <c r="H97" s="297" t="str">
        <f>IFERROR(IF($J$7="","",IF(COUNTIF(F95,"*（実績）*"),バックデータ!I123,B97*D97*E97)),"")</f>
        <v/>
      </c>
    </row>
    <row r="98" spans="1:21" ht="16.899999999999999" hidden="1" customHeight="1">
      <c r="A98" s="257" t="s">
        <v>201</v>
      </c>
      <c r="B98" s="258"/>
      <c r="C98" s="258"/>
      <c r="D98" s="258"/>
      <c r="E98" s="259"/>
      <c r="F98" s="292"/>
      <c r="G98" s="292"/>
      <c r="H98" s="293"/>
    </row>
    <row r="99" spans="1:21" ht="16.899999999999999" hidden="1" customHeight="1" thickBot="1">
      <c r="A99" s="299"/>
      <c r="B99" s="424" t="s">
        <v>199</v>
      </c>
      <c r="C99" s="425"/>
      <c r="D99" s="366" t="s">
        <v>73</v>
      </c>
      <c r="E99" s="93" t="s">
        <v>72</v>
      </c>
      <c r="F99" s="296" t="str">
        <f>IFERROR("【単価契約部分】"&amp;IF(OR(J$7="契約5年目"),VLOOKUP($J$2,バックデータ!$AY$2:$BE$5,6,FALSE)&amp;"　合計（実績）",VLOOKUP($J$2,バックデータ!$AY$2:$BE$5,6,FALSE)&amp;"　合計（税抜日額×人数×日数）"),"【単価契約部分】令和●年度　合計（税抜日額×人数×日数）")</f>
        <v>【単価契約部分】令和11年度　合計（税抜日額×人数×日数）</v>
      </c>
      <c r="G99" s="286"/>
      <c r="H99" s="285"/>
    </row>
    <row r="100" spans="1:21" ht="16.899999999999999" hidden="1" customHeight="1" thickTop="1">
      <c r="A100" s="363" t="s">
        <v>196</v>
      </c>
      <c r="B100" s="426" t="str">
        <f>IF(A$20="","",IF(J$7="契約1年目",K$34,バックデータ!A126))</f>
        <v/>
      </c>
      <c r="C100" s="427"/>
      <c r="D100" s="3" t="str">
        <f>IF(B100="","",1)</f>
        <v/>
      </c>
      <c r="E100" s="267" t="str">
        <f>IF(B100="","",'支出負担行為整理簿（乙）別紙'!AA$35+'支出負担行為整理簿（乙）別紙'!AA$36)</f>
        <v/>
      </c>
      <c r="F100" s="288"/>
      <c r="G100" s="289"/>
      <c r="H100" s="298" t="str">
        <f>IFERROR(IF($J$7="","",IF(COUNTIF(F99,"*（実績）*"),バックデータ!I126,B100*D100*E100)),"")</f>
        <v/>
      </c>
    </row>
    <row r="101" spans="1:21" ht="16.899999999999999" hidden="1" customHeight="1" thickBot="1">
      <c r="A101" s="364" t="s">
        <v>197</v>
      </c>
      <c r="B101" s="420" t="str">
        <f>IF(A$20="","",IF(J$7="契約1年目",K$35,バックデータ!A127))</f>
        <v/>
      </c>
      <c r="C101" s="421" t="str">
        <f>IF(C$20="","",IF(L$7="契約1年目",Q$36,バックデータ!C115))</f>
        <v/>
      </c>
      <c r="D101" s="262" t="str">
        <f>IF(B101="","",1)</f>
        <v/>
      </c>
      <c r="E101" s="268" t="str">
        <f>IF(B101="","",'支出負担行為整理簿（乙）別紙'!AA$38+'支出負担行為整理簿（乙）別紙'!AA$39)</f>
        <v/>
      </c>
      <c r="F101" s="290"/>
      <c r="G101" s="291"/>
      <c r="H101" s="297" t="str">
        <f>IFERROR(IF($J$7="","",IF(COUNTIF(F99,"*（実績）*"),バックデータ!I127,B101*D101*E101)),"")</f>
        <v/>
      </c>
    </row>
    <row r="102" spans="1:21" ht="16.899999999999999" hidden="1" customHeight="1" thickBot="1">
      <c r="A102" s="304" t="str">
        <f>IFERROR("【単価契約部分】"&amp;IF(OR(J$7="契約5年目"),VLOOKUP($J$2,バックデータ!$AY$2:$BE$5,6,FALSE)&amp;"　総合計（実績）",VLOOKUP($J$2,バックデータ!$AY$2:$BE$5,6,FALSE)&amp;"　総合計"),"【単価契約部分】令和●年度　総合計")</f>
        <v>【単価契約部分】令和11年度　総合計</v>
      </c>
      <c r="B102" s="305"/>
      <c r="C102" s="305"/>
      <c r="D102" s="305"/>
      <c r="E102" s="305"/>
      <c r="F102" s="305"/>
      <c r="G102" s="367"/>
      <c r="H102" s="368" t="str">
        <f>IFERROR(IF(G93="","",SUM(H96:H97,H100:H101)),"")</f>
        <v/>
      </c>
    </row>
    <row r="103" spans="1:21" ht="16.899999999999999" hidden="1" customHeight="1" thickBot="1">
      <c r="A103" s="304" t="str">
        <f>"【総価契約部分及び単価契約部分】"&amp;IFERROR(IF(OR(J$7="契約5年目"),VLOOKUP($J$2,バックデータ!$AY$2:$BE$5,6,FALSE)&amp;"　総合計（単価契約部分は実績）・・・（B）",VLOOKUP($J$2,バックデータ!$AY$2:$BE$5,6,FALSE)&amp;"　総合計・・・（B）"),"令和●年度　総合計・・・（B）")</f>
        <v>【総価契約部分及び単価契約部分】令和11年度　総合計・・・（B）</v>
      </c>
      <c r="B103" s="305"/>
      <c r="C103" s="305"/>
      <c r="D103" s="305"/>
      <c r="E103" s="305"/>
      <c r="F103" s="305"/>
      <c r="G103" s="422" t="str">
        <f>IFERROR(IF(G93="","",SUM(G93,H102)),"")</f>
        <v/>
      </c>
      <c r="H103" s="423"/>
      <c r="U103" s="5"/>
    </row>
    <row r="104" spans="1:21" ht="16.899999999999999" hidden="1" customHeight="1">
      <c r="U104" s="5"/>
    </row>
    <row r="105" spans="1:21" ht="16.899999999999999" hidden="1" customHeight="1" thickBot="1">
      <c r="A105" s="1" t="str">
        <f>IFERROR(VLOOKUP($J$2,バックデータ!$AY$2:$BE$5,7,FALSE)&amp;"のびのびルーム","令和●年度のびのびルーム")</f>
        <v>令和12年度のびのびルーム</v>
      </c>
      <c r="B105" s="6"/>
      <c r="C105" s="6"/>
      <c r="D105" s="6"/>
      <c r="E105" s="6"/>
      <c r="F105" s="6"/>
      <c r="G105" s="6"/>
      <c r="H105" s="6"/>
      <c r="U105" s="5"/>
    </row>
    <row r="106" spans="1:21" ht="16.899999999999999" hidden="1" customHeight="1">
      <c r="A106" s="440" t="s">
        <v>0</v>
      </c>
      <c r="B106" s="428" t="s">
        <v>98</v>
      </c>
      <c r="C106" s="430" t="s">
        <v>10</v>
      </c>
      <c r="D106" s="432" t="s">
        <v>217</v>
      </c>
      <c r="E106" s="432" t="s">
        <v>218</v>
      </c>
      <c r="F106" s="434" t="s">
        <v>219</v>
      </c>
      <c r="G106" s="436" t="s">
        <v>202</v>
      </c>
      <c r="H106" s="438" t="s">
        <v>7</v>
      </c>
      <c r="T106" s="11"/>
      <c r="U106" s="5"/>
    </row>
    <row r="107" spans="1:21" ht="16.899999999999999" hidden="1" customHeight="1" thickBot="1">
      <c r="A107" s="441"/>
      <c r="B107" s="429"/>
      <c r="C107" s="431"/>
      <c r="D107" s="433"/>
      <c r="E107" s="433"/>
      <c r="F107" s="435"/>
      <c r="G107" s="437"/>
      <c r="H107" s="439"/>
      <c r="T107" s="11"/>
      <c r="U107" s="5"/>
    </row>
    <row r="108" spans="1:21" ht="16.899999999999999" hidden="1" customHeight="1" thickTop="1">
      <c r="A108" s="369" t="str">
        <f t="shared" ref="A108:A113" si="17">IF(A86="","",A86)</f>
        <v/>
      </c>
      <c r="B108" s="19" t="str">
        <f>IF(A108="","",VLOOKUP(A108,バックデータ!$AN$2:$AO$24,2,FALSE))</f>
        <v/>
      </c>
      <c r="C108" s="3" t="str">
        <f>IF(A108="","",VLOOKUP(B108,バックデータ!$B$2:$D$9,3,FALSE))</f>
        <v/>
      </c>
      <c r="D108" s="66" t="str">
        <f t="shared" ref="D108:D113" si="18">IF(A108="","",VLOOKUP(B108,$K$18:$Q$25,4,FALSE))</f>
        <v/>
      </c>
      <c r="E108" s="66" t="str">
        <f>IF(A108="","",VLOOKUP($B108,$K$18:$Q$25,7,FALSE))</f>
        <v/>
      </c>
      <c r="F108" s="46" t="str">
        <f t="shared" ref="F108:F113" si="19">IF(A108="","",SUM(D108:E108))</f>
        <v/>
      </c>
      <c r="G108" s="371" t="str">
        <f>IF(A108="","",IF(COUNTIF($G106,"*（実績）*"),"―",((C108+H108)*11000*12)))</f>
        <v/>
      </c>
      <c r="H108" s="62" t="str">
        <f>IF(A108="","",VLOOKUP(A108,バックデータ!$AG$2:$AJ$24,4,FALSE))</f>
        <v/>
      </c>
      <c r="T108" s="11"/>
      <c r="U108" s="5"/>
    </row>
    <row r="109" spans="1:21" ht="16.899999999999999" hidden="1" customHeight="1">
      <c r="A109" s="365" t="str">
        <f t="shared" si="17"/>
        <v/>
      </c>
      <c r="B109" s="19" t="str">
        <f>IF(A109="","",VLOOKUP(A109,バックデータ!$AN$2:$AO$24,2,FALSE))</f>
        <v/>
      </c>
      <c r="C109" s="4" t="str">
        <f>IF(A109="","",VLOOKUP(B109,バックデータ!$B$2:$D$9,3,FALSE))</f>
        <v/>
      </c>
      <c r="D109" s="67" t="str">
        <f t="shared" si="18"/>
        <v/>
      </c>
      <c r="E109" s="67" t="str">
        <f>IF(A109="","",VLOOKUP($B109,$K$18:$Q$25,7,FALSE))</f>
        <v/>
      </c>
      <c r="F109" s="45" t="str">
        <f t="shared" si="19"/>
        <v/>
      </c>
      <c r="G109" s="68" t="str">
        <f>IF(A109="","",IF(COUNTIF($G106,"*（実績）*"),"―",((C109+H109)*11000*12)))</f>
        <v/>
      </c>
      <c r="H109" s="62" t="str">
        <f>IF(A109="","",VLOOKUP(A109,バックデータ!$AG$2:$AJ$24,4,FALSE))</f>
        <v/>
      </c>
      <c r="T109" s="11"/>
    </row>
    <row r="110" spans="1:21" ht="16.899999999999999" hidden="1" customHeight="1">
      <c r="A110" s="365" t="str">
        <f t="shared" si="17"/>
        <v/>
      </c>
      <c r="B110" s="19" t="str">
        <f>IF(A110="","",VLOOKUP(A110,バックデータ!$AN$2:$AO$24,2,FALSE))</f>
        <v/>
      </c>
      <c r="C110" s="3" t="str">
        <f>IF(A110="","",VLOOKUP(B110,バックデータ!$B$2:$D$9,3,FALSE))</f>
        <v/>
      </c>
      <c r="D110" s="66" t="str">
        <f t="shared" si="18"/>
        <v/>
      </c>
      <c r="E110" s="67" t="str">
        <f t="shared" ref="E110:E113" si="20">IF(A110="","",VLOOKUP($B110,$K$18:$Q$25,7,FALSE))</f>
        <v/>
      </c>
      <c r="F110" s="45" t="str">
        <f t="shared" si="19"/>
        <v/>
      </c>
      <c r="G110" s="254" t="str">
        <f>IF(A110="","",IF(COUNTIF($G106,"*（実績）*"),"―",((C110+H110)*11000*12)))</f>
        <v/>
      </c>
      <c r="H110" s="62" t="str">
        <f>IF(A110="","",VLOOKUP(A110,バックデータ!$AG$2:$AJ$24,4,FALSE))</f>
        <v/>
      </c>
      <c r="T110" s="11"/>
    </row>
    <row r="111" spans="1:21" ht="16.899999999999999" hidden="1" customHeight="1">
      <c r="A111" s="365" t="str">
        <f t="shared" si="17"/>
        <v/>
      </c>
      <c r="B111" s="19" t="str">
        <f>IF(A111="","",VLOOKUP(A111,バックデータ!$AN$2:$AO$24,2,FALSE))</f>
        <v/>
      </c>
      <c r="C111" s="4" t="str">
        <f>IF(A111="","",VLOOKUP(B111,バックデータ!$B$2:$D$9,3,FALSE))</f>
        <v/>
      </c>
      <c r="D111" s="67" t="str">
        <f t="shared" si="18"/>
        <v/>
      </c>
      <c r="E111" s="67" t="str">
        <f t="shared" si="20"/>
        <v/>
      </c>
      <c r="F111" s="45" t="str">
        <f t="shared" si="19"/>
        <v/>
      </c>
      <c r="G111" s="68" t="str">
        <f>IF(A111="","",IF(COUNTIF($G106,"*（実績）*"),"―",((C111+H111)*11000*12)))</f>
        <v/>
      </c>
      <c r="H111" s="62" t="str">
        <f>IF(A111="","",VLOOKUP(A111,バックデータ!$AG$2:$AJ$24,4,FALSE))</f>
        <v/>
      </c>
      <c r="T111" s="11"/>
    </row>
    <row r="112" spans="1:21" ht="16.899999999999999" hidden="1" customHeight="1">
      <c r="A112" s="365" t="str">
        <f t="shared" si="17"/>
        <v/>
      </c>
      <c r="B112" s="19" t="str">
        <f>IF(A112="","",VLOOKUP(A112,バックデータ!$AN$2:$AO$24,2,FALSE))</f>
        <v/>
      </c>
      <c r="C112" s="3" t="str">
        <f>IF(A112="","",VLOOKUP(B112,バックデータ!$B$2:$D$9,3,FALSE))</f>
        <v/>
      </c>
      <c r="D112" s="66" t="str">
        <f t="shared" si="18"/>
        <v/>
      </c>
      <c r="E112" s="67" t="str">
        <f t="shared" si="20"/>
        <v/>
      </c>
      <c r="F112" s="45" t="str">
        <f t="shared" si="19"/>
        <v/>
      </c>
      <c r="G112" s="254" t="str">
        <f>IF(A112="","",IF(COUNTIF($G106,"*（実績）*"),"―",((C112+H112)*11000*12)))</f>
        <v/>
      </c>
      <c r="H112" s="62" t="str">
        <f>IF(A112="","",VLOOKUP(A112,バックデータ!$AG$2:$AJ$24,4,FALSE))</f>
        <v/>
      </c>
      <c r="S112" s="6"/>
      <c r="T112" s="6"/>
    </row>
    <row r="113" spans="1:8" ht="16.899999999999999" hidden="1" customHeight="1">
      <c r="A113" s="365" t="str">
        <f t="shared" si="17"/>
        <v/>
      </c>
      <c r="B113" s="19" t="str">
        <f>IF(A113="","",VLOOKUP(A113,バックデータ!$AN$2:$AO$24,2,FALSE))</f>
        <v/>
      </c>
      <c r="C113" s="4" t="str">
        <f>IF(A113="","",VLOOKUP(B113,バックデータ!$B$2:$D$9,3,FALSE))</f>
        <v/>
      </c>
      <c r="D113" s="67" t="str">
        <f t="shared" si="18"/>
        <v/>
      </c>
      <c r="E113" s="67" t="str">
        <f t="shared" si="20"/>
        <v/>
      </c>
      <c r="F113" s="45" t="str">
        <f t="shared" si="19"/>
        <v/>
      </c>
      <c r="G113" s="68" t="str">
        <f>IF(A113="","",IF(COUNTIF($G106,"*（実績）*"),"―",((C113+H113)*11000*12)))</f>
        <v/>
      </c>
      <c r="H113" s="62" t="str">
        <f>IF(A113="","",VLOOKUP(A113,バックデータ!$AG$2:$AJ$24,4,FALSE))</f>
        <v/>
      </c>
    </row>
    <row r="114" spans="1:8" ht="16.899999999999999" hidden="1" customHeight="1">
      <c r="A114" s="200" t="s">
        <v>117</v>
      </c>
      <c r="B114" s="370"/>
      <c r="C114" s="370"/>
      <c r="D114" s="370"/>
      <c r="E114" s="202"/>
      <c r="F114" s="89" t="str">
        <f>IF(A$20="","",SUM(F108:F113))</f>
        <v/>
      </c>
      <c r="G114" s="263" t="str">
        <f>IF(A108="","",IF(COUNTIF($G106,"*（実績）*"),バックデータ!H144,SUM(G108:G113)))</f>
        <v/>
      </c>
      <c r="H114" s="90" t="str">
        <f>IF(H108="","",SUM(H108:H113))</f>
        <v/>
      </c>
    </row>
    <row r="115" spans="1:8" ht="16.899999999999999" hidden="1" customHeight="1" thickBot="1">
      <c r="A115" s="203" t="str">
        <f>IFERROR("【総価契約部分】"&amp;VLOOKUP($J$2,バックデータ!$AY$2:$BE$5,7,FALSE)&amp;"　合計（税抜）","【総価契約部分】令和●年度　合計（税抜）")</f>
        <v>【総価契約部分】令和12年度　合計（税抜）</v>
      </c>
      <c r="B115" s="204"/>
      <c r="C115" s="204"/>
      <c r="D115" s="204"/>
      <c r="E115" s="205"/>
      <c r="F115" s="264"/>
      <c r="G115" s="265" t="str">
        <f>IF(F114="","",F114+G114)</f>
        <v/>
      </c>
      <c r="H115" s="64"/>
    </row>
    <row r="116" spans="1:8" ht="16.899999999999999" hidden="1" customHeight="1">
      <c r="A116" s="257" t="s">
        <v>198</v>
      </c>
      <c r="B116" s="258"/>
      <c r="C116" s="258"/>
      <c r="D116" s="258"/>
      <c r="E116" s="259"/>
      <c r="F116" s="292"/>
      <c r="G116" s="292"/>
      <c r="H116" s="293"/>
    </row>
    <row r="117" spans="1:8" ht="16.899999999999999" hidden="1" customHeight="1" thickBot="1">
      <c r="A117" s="282"/>
      <c r="B117" s="424" t="s">
        <v>199</v>
      </c>
      <c r="C117" s="425"/>
      <c r="D117" s="366" t="s">
        <v>73</v>
      </c>
      <c r="E117" s="296" t="s">
        <v>72</v>
      </c>
      <c r="F117" s="296" t="str">
        <f>IFERROR("【単価契約部分】"&amp;VLOOKUP($J$2,バックデータ!$AY$2:$BE$5,7,FALSE)&amp;"　合計（税抜日額×人数×日数）","【単価契約部分】令和●年度　合計（税抜日額×人数×日数）")</f>
        <v>【単価契約部分】令和12年度　合計（税抜日額×人数×日数）</v>
      </c>
      <c r="G117" s="286"/>
      <c r="H117" s="285"/>
    </row>
    <row r="118" spans="1:8" ht="16.899999999999999" hidden="1" customHeight="1" thickTop="1">
      <c r="A118" s="363" t="s">
        <v>196</v>
      </c>
      <c r="B118" s="426" t="str">
        <f>IF(A$20="","",IF(J$7="契約1年目",K$30,バックデータ!A150))</f>
        <v/>
      </c>
      <c r="C118" s="427"/>
      <c r="D118" s="3" t="str">
        <f>IF(B118="","",H114)</f>
        <v/>
      </c>
      <c r="E118" s="267" t="str">
        <f>IF(B118="","",'支出負担行為整理簿（乙）別紙'!AF$20)</f>
        <v/>
      </c>
      <c r="F118" s="288"/>
      <c r="G118" s="289"/>
      <c r="H118" s="298" t="str">
        <f>IFERROR(IF($J$7="","",IF(COUNTIF(F117,"*（実績）*"),バックデータ!I150,B118*D118*E118)),"")</f>
        <v/>
      </c>
    </row>
    <row r="119" spans="1:8" ht="16.899999999999999" hidden="1" customHeight="1" thickBot="1">
      <c r="A119" s="364" t="s">
        <v>197</v>
      </c>
      <c r="B119" s="420" t="str">
        <f>IF(A$20="","",IF(J$7="契約1年目",K$31,バックデータ!A151))</f>
        <v/>
      </c>
      <c r="C119" s="421"/>
      <c r="D119" s="262" t="str">
        <f>IF(B119="","",H114)</f>
        <v/>
      </c>
      <c r="E119" s="268" t="str">
        <f>IF(B119="","",'支出負担行為整理簿（乙）別紙'!AF$21)</f>
        <v/>
      </c>
      <c r="F119" s="290"/>
      <c r="G119" s="291"/>
      <c r="H119" s="297" t="str">
        <f>IFERROR(IF($J$7="","",IF(COUNTIF(F117,"*（実績）*"),バックデータ!I151,B119*D119*E119)),"")</f>
        <v/>
      </c>
    </row>
    <row r="120" spans="1:8" ht="16.899999999999999" hidden="1" customHeight="1">
      <c r="A120" s="257" t="s">
        <v>201</v>
      </c>
      <c r="B120" s="258"/>
      <c r="C120" s="258"/>
      <c r="D120" s="258"/>
      <c r="E120" s="259"/>
      <c r="F120" s="292"/>
      <c r="G120" s="292"/>
      <c r="H120" s="293"/>
    </row>
    <row r="121" spans="1:8" ht="16.899999999999999" hidden="1" customHeight="1" thickBot="1">
      <c r="A121" s="299"/>
      <c r="B121" s="424" t="s">
        <v>199</v>
      </c>
      <c r="C121" s="425"/>
      <c r="D121" s="366" t="s">
        <v>73</v>
      </c>
      <c r="E121" s="93" t="s">
        <v>72</v>
      </c>
      <c r="F121" s="296" t="str">
        <f>IFERROR("【単価契約部分】"&amp;VLOOKUP($J$2,バックデータ!$AY$2:$BE$5,7,FALSE)&amp;"　合計（税抜日額×人数×日数）","【単価契約部分】令和●年度　合計（税抜日額×人数×日数）")</f>
        <v>【単価契約部分】令和12年度　合計（税抜日額×人数×日数）</v>
      </c>
      <c r="G121" s="286"/>
      <c r="H121" s="285"/>
    </row>
    <row r="122" spans="1:8" ht="16.899999999999999" hidden="1" customHeight="1" thickTop="1">
      <c r="A122" s="363" t="s">
        <v>196</v>
      </c>
      <c r="B122" s="426" t="str">
        <f>IF(A$20="","",IF(J$7="契約1年目",K$34,バックデータ!A154))</f>
        <v/>
      </c>
      <c r="C122" s="427"/>
      <c r="D122" s="3" t="str">
        <f>IF(B122="","",1)</f>
        <v/>
      </c>
      <c r="E122" s="267" t="str">
        <f>IF(B122="","",'支出負担行為整理簿（乙）別紙'!AA$35+'支出負担行為整理簿（乙）別紙'!AA$36)</f>
        <v/>
      </c>
      <c r="F122" s="288"/>
      <c r="G122" s="289"/>
      <c r="H122" s="298" t="str">
        <f>IFERROR(IF($J$7="","",IF(COUNTIF(F121,"*（実績）*"),バックデータ!I154,B122*D122*E122)),"")</f>
        <v/>
      </c>
    </row>
    <row r="123" spans="1:8" ht="16.899999999999999" hidden="1" customHeight="1" thickBot="1">
      <c r="A123" s="364" t="s">
        <v>197</v>
      </c>
      <c r="B123" s="420" t="str">
        <f>IF(A$20="","",IF(J$7="契約1年目",K$35,バックデータ!A155))</f>
        <v/>
      </c>
      <c r="C123" s="421" t="str">
        <f>IF(C$20="","",IF(L$7="契約1年目",Q$36,バックデータ!C137))</f>
        <v/>
      </c>
      <c r="D123" s="262" t="str">
        <f>IF(B123="","",1)</f>
        <v/>
      </c>
      <c r="E123" s="268" t="str">
        <f>IF(B123="","",'支出負担行為整理簿（乙）別紙'!AA$38+'支出負担行為整理簿（乙）別紙'!AA$39)</f>
        <v/>
      </c>
      <c r="F123" s="290"/>
      <c r="G123" s="291"/>
      <c r="H123" s="297" t="str">
        <f>IFERROR(IF($J$7="","",IF(COUNTIF(F121,"*（実績）*"),バックデータ!I155,B123*D123*E123)),"")</f>
        <v/>
      </c>
    </row>
    <row r="124" spans="1:8" ht="16.899999999999999" hidden="1" customHeight="1" thickBot="1">
      <c r="A124" s="304" t="str">
        <f>IFERROR("【単価契約部分】"&amp;VLOOKUP($J$2,バックデータ!$AY$2:$BE$5,7,FALSE)&amp;"　総合計","【単価契約部分】令和●年度　総合計")</f>
        <v>【単価契約部分】令和12年度　総合計</v>
      </c>
      <c r="B124" s="305"/>
      <c r="C124" s="305"/>
      <c r="D124" s="305"/>
      <c r="E124" s="305"/>
      <c r="F124" s="305"/>
      <c r="G124" s="367"/>
      <c r="H124" s="368" t="str">
        <f>IFERROR(IF(G115="","",SUM(H118:H119,H122:H123)),"")</f>
        <v/>
      </c>
    </row>
    <row r="125" spans="1:8" ht="16.899999999999999" hidden="1" customHeight="1" thickBot="1">
      <c r="A125" s="304" t="str">
        <f>"【総価契約部分及び単価契約部分】"&amp;IFERROR(VLOOKUP($J$2,バックデータ!$AY$2:$BE$5,7,FALSE)&amp;"　総合計・・・（E）","令和●年度　総合計・・・（E）")</f>
        <v>【総価契約部分及び単価契約部分】令和12年度　総合計・・・（E）</v>
      </c>
      <c r="B125" s="305"/>
      <c r="C125" s="305"/>
      <c r="D125" s="305"/>
      <c r="E125" s="305"/>
      <c r="F125" s="305"/>
      <c r="G125" s="422" t="str">
        <f>IFERROR(IF(G115="","",SUM(G115,H124)),"")</f>
        <v/>
      </c>
      <c r="H125" s="423"/>
    </row>
    <row r="126" spans="1:8" ht="16.899999999999999" hidden="1" customHeight="1"/>
  </sheetData>
  <sheetProtection algorithmName="SHA-512" hashValue="wdW3lpfrSq0h7KqAGZHDZ6ac36kWHovdB3D6tRvHqeld++5rh9wPr3FBGb1gjE8E55wr3dDKZ5QjsnAYsh/6Uw==" saltValue="h1fMLk+HLw8hfGiH55jSyw==" spinCount="100000" sheet="1" selectLockedCells="1"/>
  <mergeCells count="98">
    <mergeCell ref="D40:D41"/>
    <mergeCell ref="E40:E41"/>
    <mergeCell ref="F40:F41"/>
    <mergeCell ref="Q16:Q17"/>
    <mergeCell ref="P16:P17"/>
    <mergeCell ref="J18:J25"/>
    <mergeCell ref="J16:J17"/>
    <mergeCell ref="K16:K17"/>
    <mergeCell ref="M16:M17"/>
    <mergeCell ref="L16:L17"/>
    <mergeCell ref="N16:N17"/>
    <mergeCell ref="O16:O17"/>
    <mergeCell ref="G106:G107"/>
    <mergeCell ref="H106:H107"/>
    <mergeCell ref="A40:A41"/>
    <mergeCell ref="B40:B41"/>
    <mergeCell ref="G18:G19"/>
    <mergeCell ref="H18:H19"/>
    <mergeCell ref="B33:C33"/>
    <mergeCell ref="B34:C34"/>
    <mergeCell ref="B35:C35"/>
    <mergeCell ref="A18:A19"/>
    <mergeCell ref="G37:H37"/>
    <mergeCell ref="D18:D19"/>
    <mergeCell ref="C18:C19"/>
    <mergeCell ref="B18:B19"/>
    <mergeCell ref="G59:H59"/>
    <mergeCell ref="B29:C29"/>
    <mergeCell ref="F7:H7"/>
    <mergeCell ref="G103:H103"/>
    <mergeCell ref="A84:A85"/>
    <mergeCell ref="B95:C95"/>
    <mergeCell ref="B96:C96"/>
    <mergeCell ref="B97:C97"/>
    <mergeCell ref="B99:C99"/>
    <mergeCell ref="B100:C100"/>
    <mergeCell ref="B101:C101"/>
    <mergeCell ref="B30:C30"/>
    <mergeCell ref="B31:C31"/>
    <mergeCell ref="E18:E19"/>
    <mergeCell ref="F18:F19"/>
    <mergeCell ref="H40:H41"/>
    <mergeCell ref="G40:G41"/>
    <mergeCell ref="C40:C41"/>
    <mergeCell ref="D106:D107"/>
    <mergeCell ref="E106:E107"/>
    <mergeCell ref="F106:F107"/>
    <mergeCell ref="G1:H1"/>
    <mergeCell ref="B11:D12"/>
    <mergeCell ref="F11:G11"/>
    <mergeCell ref="F12:G12"/>
    <mergeCell ref="A3:H3"/>
    <mergeCell ref="F9:H9"/>
    <mergeCell ref="E13:H14"/>
    <mergeCell ref="B13:D14"/>
    <mergeCell ref="F8:H8"/>
    <mergeCell ref="A13:A14"/>
    <mergeCell ref="A11:A12"/>
    <mergeCell ref="F5:H5"/>
    <mergeCell ref="F6:H6"/>
    <mergeCell ref="B74:C74"/>
    <mergeCell ref="B75:C75"/>
    <mergeCell ref="B77:C77"/>
    <mergeCell ref="A106:A107"/>
    <mergeCell ref="B106:B107"/>
    <mergeCell ref="C106:C107"/>
    <mergeCell ref="B78:C78"/>
    <mergeCell ref="B79:C79"/>
    <mergeCell ref="B57:C57"/>
    <mergeCell ref="A62:A63"/>
    <mergeCell ref="B62:B63"/>
    <mergeCell ref="C62:C63"/>
    <mergeCell ref="B73:C73"/>
    <mergeCell ref="B51:C51"/>
    <mergeCell ref="B52:C52"/>
    <mergeCell ref="B53:C53"/>
    <mergeCell ref="B55:C55"/>
    <mergeCell ref="B56:C56"/>
    <mergeCell ref="D62:D63"/>
    <mergeCell ref="E62:E63"/>
    <mergeCell ref="F62:F63"/>
    <mergeCell ref="G62:G63"/>
    <mergeCell ref="H62:H63"/>
    <mergeCell ref="G81:H81"/>
    <mergeCell ref="B84:B85"/>
    <mergeCell ref="C84:C85"/>
    <mergeCell ref="D84:D85"/>
    <mergeCell ref="E84:E85"/>
    <mergeCell ref="F84:F85"/>
    <mergeCell ref="G84:G85"/>
    <mergeCell ref="H84:H85"/>
    <mergeCell ref="B123:C123"/>
    <mergeCell ref="G125:H125"/>
    <mergeCell ref="B117:C117"/>
    <mergeCell ref="B118:C118"/>
    <mergeCell ref="B119:C119"/>
    <mergeCell ref="B121:C121"/>
    <mergeCell ref="B122:C122"/>
  </mergeCells>
  <phoneticPr fontId="1"/>
  <conditionalFormatting sqref="A1">
    <cfRule type="expression" dxfId="38" priority="79">
      <formula>$J$10="入札額積算資料"</formula>
    </cfRule>
  </conditionalFormatting>
  <conditionalFormatting sqref="A13:A14">
    <cfRule type="expression" dxfId="37" priority="1">
      <formula>A13=" "</formula>
    </cfRule>
  </conditionalFormatting>
  <conditionalFormatting sqref="A20:A25">
    <cfRule type="expression" dxfId="36" priority="110">
      <formula>($A20&lt;&gt;"")</formula>
    </cfRule>
  </conditionalFormatting>
  <conditionalFormatting sqref="B11:D12">
    <cfRule type="expression" dxfId="35" priority="76">
      <formula>$B$11=0</formula>
    </cfRule>
  </conditionalFormatting>
  <conditionalFormatting sqref="B13:D14">
    <cfRule type="expression" dxfId="34" priority="2">
      <formula>A13=" "</formula>
    </cfRule>
  </conditionalFormatting>
  <conditionalFormatting sqref="E11:E12">
    <cfRule type="expression" dxfId="33" priority="41">
      <formula>$B$11=""</formula>
    </cfRule>
  </conditionalFormatting>
  <conditionalFormatting sqref="E11:H12">
    <cfRule type="expression" dxfId="32" priority="46">
      <formula>OR($J$10="見積書",$J$10="")</formula>
    </cfRule>
    <cfRule type="expression" dxfId="31" priority="49">
      <formula>$J$10="入札額積算資料"</formula>
    </cfRule>
  </conditionalFormatting>
  <conditionalFormatting sqref="E13:H14">
    <cfRule type="expression" dxfId="30" priority="4">
      <formula>A13=" "</formula>
    </cfRule>
  </conditionalFormatting>
  <conditionalFormatting sqref="F5:H9">
    <cfRule type="expression" dxfId="29" priority="111">
      <formula>($F5&lt;&gt;"")</formula>
    </cfRule>
  </conditionalFormatting>
  <conditionalFormatting sqref="G1">
    <cfRule type="expression" dxfId="28" priority="107">
      <formula>$G$1&lt;&gt;""</formula>
    </cfRule>
  </conditionalFormatting>
  <conditionalFormatting sqref="G1:H1">
    <cfRule type="expression" dxfId="27" priority="80">
      <formula>J10="入札額積算資料"</formula>
    </cfRule>
  </conditionalFormatting>
  <conditionalFormatting sqref="H11:H12">
    <cfRule type="expression" dxfId="26" priority="39">
      <formula>$B$11=""</formula>
    </cfRule>
  </conditionalFormatting>
  <conditionalFormatting sqref="J2">
    <cfRule type="expression" dxfId="25" priority="108">
      <formula>$J$2&lt;&gt;""</formula>
    </cfRule>
  </conditionalFormatting>
  <conditionalFormatting sqref="J7">
    <cfRule type="expression" dxfId="24" priority="106">
      <formula>$J$7&lt;&gt;""</formula>
    </cfRule>
  </conditionalFormatting>
  <conditionalFormatting sqref="J10">
    <cfRule type="expression" dxfId="23" priority="81">
      <formula>$J$10&lt;&gt;""</formula>
    </cfRule>
  </conditionalFormatting>
  <conditionalFormatting sqref="K30:K31">
    <cfRule type="expression" dxfId="22" priority="86">
      <formula>(K30&lt;&gt;"")</formula>
    </cfRule>
  </conditionalFormatting>
  <conditionalFormatting sqref="K34:K35">
    <cfRule type="expression" dxfId="21" priority="85">
      <formula>(K34&lt;&gt;"")</formula>
    </cfRule>
  </conditionalFormatting>
  <conditionalFormatting sqref="K18:Q25">
    <cfRule type="expression" dxfId="20" priority="378">
      <formula>(AND($J$7="契約5年目",COUNTIF(#REF!,$K18)=0))</formula>
    </cfRule>
    <cfRule type="expression" dxfId="19" priority="379">
      <formula>(AND($J$7="契約4年目",COUNTIF(#REF!,$K18)=0))</formula>
    </cfRule>
    <cfRule type="expression" dxfId="18" priority="380">
      <formula>(AND($J$7="契約3年目",COUNTIF(#REF!,$K18)=0))</formula>
    </cfRule>
    <cfRule type="expression" dxfId="17" priority="381">
      <formula>(AND($J$7="契約2年目",COUNTIF($B$42:$B$47,$K18)=0))</formula>
    </cfRule>
    <cfRule type="expression" dxfId="16" priority="382">
      <formula>(AND($J$7="契約1年目",COUNTIF($B$20:$B$25,$K18)=0))</formula>
    </cfRule>
  </conditionalFormatting>
  <conditionalFormatting sqref="L18:L25">
    <cfRule type="expression" dxfId="15" priority="294">
      <formula>($L18&lt;&gt;"")</formula>
    </cfRule>
    <cfRule type="expression" dxfId="14" priority="296">
      <formula>($M18="")</formula>
    </cfRule>
  </conditionalFormatting>
  <conditionalFormatting sqref="O18:O25">
    <cfRule type="expression" dxfId="13" priority="295">
      <formula>($O18&lt;&gt;"")</formula>
    </cfRule>
    <cfRule type="expression" dxfId="12" priority="297">
      <formula>($P18="")</formula>
    </cfRule>
  </conditionalFormatting>
  <dataValidations count="5">
    <dataValidation type="list" allowBlank="1" showInputMessage="1" showErrorMessage="1" sqref="J2" xr:uid="{00000000-0002-0000-0100-000001000000}">
      <formula1>業務名</formula1>
    </dataValidation>
    <dataValidation type="list" allowBlank="1" showInputMessage="1" showErrorMessage="1" sqref="A20:A25" xr:uid="{00000000-0002-0000-0100-000000000000}">
      <formula1>INDIRECT($J$2)</formula1>
    </dataValidation>
    <dataValidation type="list" allowBlank="1" showInputMessage="1" showErrorMessage="1" sqref="J7" xr:uid="{45D3F026-5F45-4193-95DD-68F928774CAD}">
      <formula1>"契約1年目,契約2年目"</formula1>
    </dataValidation>
    <dataValidation type="list" allowBlank="1" showInputMessage="1" showErrorMessage="1" sqref="J10" xr:uid="{4606CD63-E88F-497C-8B62-157AF8EAF7F5}">
      <formula1>"入札額積算資料,見積書"</formula1>
    </dataValidation>
    <dataValidation type="list" allowBlank="1" showInputMessage="1" sqref="G1:H1" xr:uid="{CF80CD6E-EA10-4514-8FEF-FF53CA262AF5}">
      <formula1>"令和8年 4月 1日,令和9年 4月 1日"</formula1>
    </dataValidation>
  </dataValidations>
  <printOptions horizontalCentered="1"/>
  <pageMargins left="0.51181102362204722" right="0.51181102362204722" top="0.98425196850393704" bottom="0.35433070866141736" header="0.31496062992125984" footer="0.31496062992125984"/>
  <pageSetup paperSize="9" scale="75" orientation="portrait" r:id="rId1"/>
  <rowBreaks count="2" manualBreakCount="2">
    <brk id="38" max="7" man="1"/>
    <brk id="82"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BE157"/>
  <sheetViews>
    <sheetView showGridLines="0" topLeftCell="F1" zoomScale="85" zoomScaleNormal="85" workbookViewId="0">
      <selection activeCell="V13" sqref="V13"/>
    </sheetView>
  </sheetViews>
  <sheetFormatPr defaultColWidth="9" defaultRowHeight="16.5" customHeight="1"/>
  <cols>
    <col min="1" max="4" width="13.625" style="11" customWidth="1"/>
    <col min="5" max="6" width="13.625" style="41" customWidth="1"/>
    <col min="7" max="46" width="13.625" style="11" customWidth="1"/>
    <col min="47" max="50" width="14" style="11" customWidth="1"/>
    <col min="51" max="52" width="13.625" style="11" customWidth="1"/>
    <col min="53" max="57" width="12.875" style="11" customWidth="1"/>
    <col min="58" max="16384" width="9" style="11"/>
  </cols>
  <sheetData>
    <row r="1" spans="1:57" ht="16.5" customHeight="1" thickBot="1">
      <c r="A1" s="249" t="s">
        <v>222</v>
      </c>
      <c r="B1" s="60" t="s">
        <v>3</v>
      </c>
      <c r="C1" s="21" t="s">
        <v>19</v>
      </c>
      <c r="D1" s="42" t="s">
        <v>65</v>
      </c>
      <c r="E1" s="251" t="s">
        <v>68</v>
      </c>
      <c r="F1" s="250" t="s">
        <v>69</v>
      </c>
      <c r="G1" s="346"/>
      <c r="H1" s="346"/>
      <c r="I1" s="346"/>
      <c r="J1" s="346"/>
      <c r="K1" s="69" t="s">
        <v>75</v>
      </c>
      <c r="L1" s="21" t="s">
        <v>6</v>
      </c>
      <c r="M1" s="21" t="s">
        <v>4</v>
      </c>
      <c r="N1" s="21" t="s">
        <v>9</v>
      </c>
      <c r="O1" s="21" t="s">
        <v>45</v>
      </c>
      <c r="P1" s="21" t="s">
        <v>70</v>
      </c>
      <c r="Q1" s="22" t="s">
        <v>71</v>
      </c>
      <c r="R1" s="69" t="s">
        <v>76</v>
      </c>
      <c r="S1" s="21" t="s">
        <v>6</v>
      </c>
      <c r="T1" s="21" t="s">
        <v>3</v>
      </c>
      <c r="U1" s="21" t="s">
        <v>9</v>
      </c>
      <c r="V1" s="21" t="s">
        <v>45</v>
      </c>
      <c r="W1" s="21" t="s">
        <v>70</v>
      </c>
      <c r="X1" s="22" t="s">
        <v>71</v>
      </c>
      <c r="Y1" s="69" t="s">
        <v>77</v>
      </c>
      <c r="Z1" s="21" t="s">
        <v>6</v>
      </c>
      <c r="AA1" s="21" t="s">
        <v>3</v>
      </c>
      <c r="AB1" s="21" t="s">
        <v>9</v>
      </c>
      <c r="AC1" s="21" t="s">
        <v>45</v>
      </c>
      <c r="AD1" s="21" t="s">
        <v>70</v>
      </c>
      <c r="AE1" s="22" t="s">
        <v>71</v>
      </c>
      <c r="AF1" s="69" t="s">
        <v>78</v>
      </c>
      <c r="AG1" s="21" t="s">
        <v>6</v>
      </c>
      <c r="AH1" s="21" t="s">
        <v>3</v>
      </c>
      <c r="AI1" s="21" t="s">
        <v>9</v>
      </c>
      <c r="AJ1" s="21" t="s">
        <v>45</v>
      </c>
      <c r="AK1" s="21" t="s">
        <v>70</v>
      </c>
      <c r="AL1" s="22" t="s">
        <v>71</v>
      </c>
      <c r="AM1" s="69" t="s">
        <v>79</v>
      </c>
      <c r="AN1" s="21" t="s">
        <v>6</v>
      </c>
      <c r="AO1" s="21" t="s">
        <v>3</v>
      </c>
      <c r="AP1" s="21" t="s">
        <v>9</v>
      </c>
      <c r="AQ1" s="21" t="s">
        <v>45</v>
      </c>
      <c r="AR1" s="21" t="s">
        <v>70</v>
      </c>
      <c r="AS1" s="22" t="s">
        <v>71</v>
      </c>
      <c r="AU1" s="23" t="s">
        <v>160</v>
      </c>
      <c r="AV1" s="24" t="s">
        <v>161</v>
      </c>
      <c r="AW1" s="24" t="s">
        <v>162</v>
      </c>
      <c r="AX1" s="354" t="s">
        <v>163</v>
      </c>
      <c r="AY1" s="20" t="s">
        <v>5</v>
      </c>
      <c r="AZ1" s="42" t="s">
        <v>20</v>
      </c>
      <c r="BA1" s="21" t="s">
        <v>75</v>
      </c>
      <c r="BB1" s="21" t="s">
        <v>76</v>
      </c>
      <c r="BC1" s="21" t="s">
        <v>77</v>
      </c>
      <c r="BD1" s="21" t="s">
        <v>78</v>
      </c>
      <c r="BE1" s="22" t="s">
        <v>79</v>
      </c>
    </row>
    <row r="2" spans="1:57" ht="16.5" customHeight="1">
      <c r="A2" s="477" t="s">
        <v>2</v>
      </c>
      <c r="B2" s="19">
        <v>1</v>
      </c>
      <c r="C2" s="2" t="s">
        <v>11</v>
      </c>
      <c r="D2" s="80">
        <f>B2*2</f>
        <v>2</v>
      </c>
      <c r="E2" s="252"/>
      <c r="F2" s="248"/>
      <c r="G2" s="480"/>
      <c r="H2" s="346"/>
      <c r="I2" s="346"/>
      <c r="J2" s="346"/>
      <c r="K2" s="70" t="s">
        <v>181</v>
      </c>
      <c r="L2" s="26" t="s">
        <v>209</v>
      </c>
      <c r="M2" s="50"/>
      <c r="N2" s="26" t="str">
        <f>IF($A$1=K2,M2*2,"")</f>
        <v/>
      </c>
      <c r="O2" s="54"/>
      <c r="P2" s="27" t="str">
        <f>IF($A$1=K2,VLOOKUP(M2,$B$2:$F$9,4,FALSE),"")</f>
        <v/>
      </c>
      <c r="Q2" s="28" t="str">
        <f>IF($A$1=K2,VLOOKUP(M2,$B$2:$F$9,5,FALSE),"")</f>
        <v/>
      </c>
      <c r="R2" s="83" t="s">
        <v>181</v>
      </c>
      <c r="S2" s="26" t="s">
        <v>209</v>
      </c>
      <c r="T2" s="50"/>
      <c r="U2" s="26" t="str">
        <f>IF($A$1=R2,T2*2,"")</f>
        <v/>
      </c>
      <c r="V2" s="54"/>
      <c r="W2" s="27" t="str">
        <f>IF($A$1=R2,VLOOKUP(T2,$B$2:$F$9,4,FALSE),"")</f>
        <v/>
      </c>
      <c r="X2" s="28" t="str">
        <f>IF($A$1=R2,VLOOKUP(T2,$B$2:$F$9,5,FALSE),"")</f>
        <v/>
      </c>
      <c r="Y2" s="83" t="s">
        <v>181</v>
      </c>
      <c r="Z2" s="26" t="s">
        <v>209</v>
      </c>
      <c r="AA2" s="50"/>
      <c r="AB2" s="26" t="str">
        <f>IF($A$1=Y2,AA2*2,"")</f>
        <v/>
      </c>
      <c r="AC2" s="54"/>
      <c r="AD2" s="27" t="str">
        <f>IF($A$1=Y2,VLOOKUP(AA2,$B$2:$F$9,4,FALSE),"")</f>
        <v/>
      </c>
      <c r="AE2" s="28" t="str">
        <f>IF($A$1=Y2,VLOOKUP(AA2,$B$2:$F$9,5,FALSE),"")</f>
        <v/>
      </c>
      <c r="AF2" s="83" t="s">
        <v>181</v>
      </c>
      <c r="AG2" s="26" t="s">
        <v>209</v>
      </c>
      <c r="AH2" s="50"/>
      <c r="AI2" s="26" t="str">
        <f>IF($A$1=AF2,AH2*2,"")</f>
        <v/>
      </c>
      <c r="AJ2" s="54"/>
      <c r="AK2" s="27" t="str">
        <f>IF($A$1=AF2,VLOOKUP(AH2,$B$2:$F$9,4,FALSE),"")</f>
        <v/>
      </c>
      <c r="AL2" s="28" t="str">
        <f>IF($A$1=AF2,VLOOKUP(AH2,$B$2:$F$9,5,FALSE),"")</f>
        <v/>
      </c>
      <c r="AM2" s="83" t="s">
        <v>181</v>
      </c>
      <c r="AN2" s="26" t="s">
        <v>209</v>
      </c>
      <c r="AO2" s="50"/>
      <c r="AP2" s="26" t="str">
        <f>IF($A$1=AM2,AO2*2,"")</f>
        <v/>
      </c>
      <c r="AQ2" s="54"/>
      <c r="AR2" s="27" t="str">
        <f>IF($A$1=AM2,VLOOKUP(AO2,$B$2:$F$9,4,FALSE),"")</f>
        <v/>
      </c>
      <c r="AS2" s="28" t="str">
        <f>IF($A$1=AM2,VLOOKUP(AO2,$B$2:$F$9,5,FALSE),"")</f>
        <v/>
      </c>
      <c r="AU2" s="350" t="s">
        <v>209</v>
      </c>
      <c r="AV2" s="2" t="s">
        <v>164</v>
      </c>
      <c r="AW2" s="2" t="s">
        <v>170</v>
      </c>
      <c r="AX2" s="81" t="s">
        <v>175</v>
      </c>
      <c r="AY2" s="79" t="s">
        <v>160</v>
      </c>
      <c r="AZ2" s="80">
        <v>2</v>
      </c>
      <c r="BA2" s="2" t="s">
        <v>80</v>
      </c>
      <c r="BB2" s="2" t="s">
        <v>81</v>
      </c>
      <c r="BC2" s="2" t="s">
        <v>82</v>
      </c>
      <c r="BD2" s="2" t="s">
        <v>83</v>
      </c>
      <c r="BE2" s="81" t="s">
        <v>193</v>
      </c>
    </row>
    <row r="3" spans="1:57" ht="16.5" customHeight="1">
      <c r="A3" s="478"/>
      <c r="B3" s="29">
        <v>2</v>
      </c>
      <c r="C3" s="14" t="s">
        <v>12</v>
      </c>
      <c r="D3" s="43">
        <f t="shared" ref="D3:D9" si="0">B3*2</f>
        <v>4</v>
      </c>
      <c r="E3" s="197"/>
      <c r="F3" s="58"/>
      <c r="G3" s="480"/>
      <c r="H3" s="346"/>
      <c r="I3" s="346"/>
      <c r="J3" s="346"/>
      <c r="K3" s="71" t="s">
        <v>181</v>
      </c>
      <c r="L3" s="14" t="s">
        <v>210</v>
      </c>
      <c r="M3" s="51"/>
      <c r="N3" s="14" t="str">
        <f t="shared" ref="N3:N24" si="1">IF($A$1=K3,M3*2,"")</f>
        <v/>
      </c>
      <c r="O3" s="55"/>
      <c r="P3" s="31" t="str">
        <f t="shared" ref="P3:P24" si="2">IF($A$1=K3,VLOOKUP(M3,$B$2:$F$9,4,FALSE),"")</f>
        <v/>
      </c>
      <c r="Q3" s="32" t="str">
        <f t="shared" ref="Q3:Q24" si="3">IF($A$1=K3,VLOOKUP(M3,$B$2:$F$9,5,FALSE),"")</f>
        <v/>
      </c>
      <c r="R3" s="84" t="s">
        <v>181</v>
      </c>
      <c r="S3" s="14" t="s">
        <v>210</v>
      </c>
      <c r="T3" s="51"/>
      <c r="U3" s="14" t="str">
        <f t="shared" ref="U3:U10" si="4">IF($A$1=R3,T3*2,"")</f>
        <v/>
      </c>
      <c r="V3" s="55"/>
      <c r="W3" s="31" t="str">
        <f t="shared" ref="W3:W16" si="5">IF($A$1=R3,VLOOKUP(T3,$B$2:$F$9,4,FALSE),"")</f>
        <v/>
      </c>
      <c r="X3" s="32" t="str">
        <f t="shared" ref="X3:X24" si="6">IF($A$1=R3,VLOOKUP(T3,$B$2:$F$9,5,FALSE),"")</f>
        <v/>
      </c>
      <c r="Y3" s="84" t="s">
        <v>181</v>
      </c>
      <c r="Z3" s="14" t="s">
        <v>210</v>
      </c>
      <c r="AA3" s="51"/>
      <c r="AB3" s="14" t="str">
        <f t="shared" ref="AB3:AB10" si="7">IF($A$1=Y3,AA3*2,"")</f>
        <v/>
      </c>
      <c r="AC3" s="55"/>
      <c r="AD3" s="31" t="str">
        <f t="shared" ref="AD3:AD16" si="8">IF($A$1=Y3,VLOOKUP(AA3,$B$2:$F$9,4,FALSE),"")</f>
        <v/>
      </c>
      <c r="AE3" s="32" t="str">
        <f t="shared" ref="AE3:AE24" si="9">IF($A$1=Y3,VLOOKUP(AA3,$B$2:$F$9,5,FALSE),"")</f>
        <v/>
      </c>
      <c r="AF3" s="84" t="s">
        <v>181</v>
      </c>
      <c r="AG3" s="14" t="s">
        <v>210</v>
      </c>
      <c r="AH3" s="51"/>
      <c r="AI3" s="14" t="str">
        <f t="shared" ref="AI3:AI10" si="10">IF($A$1=AF3,AH3*2,"")</f>
        <v/>
      </c>
      <c r="AJ3" s="55"/>
      <c r="AK3" s="31" t="str">
        <f t="shared" ref="AK3:AK16" si="11">IF($A$1=AF3,VLOOKUP(AH3,$B$2:$F$9,4,FALSE),"")</f>
        <v/>
      </c>
      <c r="AL3" s="32" t="str">
        <f t="shared" ref="AL3:AL24" si="12">IF($A$1=AF3,VLOOKUP(AH3,$B$2:$F$9,5,FALSE),"")</f>
        <v/>
      </c>
      <c r="AM3" s="84" t="s">
        <v>181</v>
      </c>
      <c r="AN3" s="14" t="s">
        <v>210</v>
      </c>
      <c r="AO3" s="51"/>
      <c r="AP3" s="14" t="str">
        <f t="shared" ref="AP3:AP10" si="13">IF($A$1=AM3,AO3*2,"")</f>
        <v/>
      </c>
      <c r="AQ3" s="55"/>
      <c r="AR3" s="31" t="str">
        <f t="shared" ref="AR3:AR16" si="14">IF($A$1=AM3,VLOOKUP(AO3,$B$2:$F$9,4,FALSE),"")</f>
        <v/>
      </c>
      <c r="AS3" s="32" t="str">
        <f t="shared" ref="AS3:AS24" si="15">IF($A$1=AM3,VLOOKUP(AO3,$B$2:$F$9,5,FALSE),"")</f>
        <v/>
      </c>
      <c r="AU3" s="349" t="s">
        <v>210</v>
      </c>
      <c r="AV3" s="14" t="s">
        <v>165</v>
      </c>
      <c r="AW3" s="14" t="s">
        <v>171</v>
      </c>
      <c r="AX3" s="30" t="s">
        <v>176</v>
      </c>
      <c r="AY3" s="77" t="s">
        <v>161</v>
      </c>
      <c r="AZ3" s="43">
        <v>2</v>
      </c>
      <c r="BA3" s="14" t="s">
        <v>80</v>
      </c>
      <c r="BB3" s="14" t="s">
        <v>81</v>
      </c>
      <c r="BC3" s="14" t="s">
        <v>82</v>
      </c>
      <c r="BD3" s="14" t="s">
        <v>83</v>
      </c>
      <c r="BE3" s="30" t="s">
        <v>193</v>
      </c>
    </row>
    <row r="4" spans="1:57" ht="16.5" customHeight="1">
      <c r="A4" s="478"/>
      <c r="B4" s="29">
        <v>3</v>
      </c>
      <c r="C4" s="14" t="s">
        <v>13</v>
      </c>
      <c r="D4" s="43">
        <f t="shared" si="0"/>
        <v>6</v>
      </c>
      <c r="E4" s="197"/>
      <c r="F4" s="58"/>
      <c r="G4" s="480"/>
      <c r="H4" s="346"/>
      <c r="I4" s="346"/>
      <c r="J4" s="346"/>
      <c r="K4" s="71" t="s">
        <v>181</v>
      </c>
      <c r="L4" s="14" t="s">
        <v>211</v>
      </c>
      <c r="M4" s="51"/>
      <c r="N4" s="14" t="str">
        <f t="shared" si="1"/>
        <v/>
      </c>
      <c r="O4" s="55"/>
      <c r="P4" s="31" t="str">
        <f t="shared" si="2"/>
        <v/>
      </c>
      <c r="Q4" s="32" t="str">
        <f t="shared" si="3"/>
        <v/>
      </c>
      <c r="R4" s="84" t="s">
        <v>181</v>
      </c>
      <c r="S4" s="14" t="s">
        <v>211</v>
      </c>
      <c r="T4" s="51"/>
      <c r="U4" s="14" t="str">
        <f t="shared" si="4"/>
        <v/>
      </c>
      <c r="V4" s="55"/>
      <c r="W4" s="31" t="str">
        <f t="shared" si="5"/>
        <v/>
      </c>
      <c r="X4" s="32" t="str">
        <f t="shared" si="6"/>
        <v/>
      </c>
      <c r="Y4" s="84" t="s">
        <v>181</v>
      </c>
      <c r="Z4" s="14" t="s">
        <v>211</v>
      </c>
      <c r="AA4" s="51"/>
      <c r="AB4" s="14" t="str">
        <f t="shared" si="7"/>
        <v/>
      </c>
      <c r="AC4" s="55"/>
      <c r="AD4" s="31" t="str">
        <f t="shared" si="8"/>
        <v/>
      </c>
      <c r="AE4" s="32" t="str">
        <f t="shared" si="9"/>
        <v/>
      </c>
      <c r="AF4" s="84" t="s">
        <v>181</v>
      </c>
      <c r="AG4" s="14" t="s">
        <v>211</v>
      </c>
      <c r="AH4" s="51"/>
      <c r="AI4" s="14" t="str">
        <f t="shared" si="10"/>
        <v/>
      </c>
      <c r="AJ4" s="55"/>
      <c r="AK4" s="31" t="str">
        <f t="shared" si="11"/>
        <v/>
      </c>
      <c r="AL4" s="32" t="str">
        <f t="shared" si="12"/>
        <v/>
      </c>
      <c r="AM4" s="84" t="s">
        <v>181</v>
      </c>
      <c r="AN4" s="14" t="s">
        <v>211</v>
      </c>
      <c r="AO4" s="51"/>
      <c r="AP4" s="14" t="str">
        <f t="shared" si="13"/>
        <v/>
      </c>
      <c r="AQ4" s="55"/>
      <c r="AR4" s="31" t="str">
        <f>IF($A$1=AM4,VLOOKUP(AO4,$B$2:$F$9,4,FALSE),"")</f>
        <v/>
      </c>
      <c r="AS4" s="32" t="str">
        <f t="shared" si="15"/>
        <v/>
      </c>
      <c r="AU4" s="349" t="s">
        <v>211</v>
      </c>
      <c r="AV4" s="14" t="s">
        <v>166</v>
      </c>
      <c r="AW4" s="14" t="s">
        <v>172</v>
      </c>
      <c r="AX4" s="30" t="s">
        <v>177</v>
      </c>
      <c r="AY4" s="77" t="s">
        <v>162</v>
      </c>
      <c r="AZ4" s="43">
        <v>2</v>
      </c>
      <c r="BA4" s="14" t="s">
        <v>80</v>
      </c>
      <c r="BB4" s="14" t="s">
        <v>81</v>
      </c>
      <c r="BC4" s="14" t="s">
        <v>82</v>
      </c>
      <c r="BD4" s="14" t="s">
        <v>83</v>
      </c>
      <c r="BE4" s="30" t="s">
        <v>193</v>
      </c>
    </row>
    <row r="5" spans="1:57" ht="16.5" customHeight="1" thickBot="1">
      <c r="A5" s="478"/>
      <c r="B5" s="29">
        <v>4</v>
      </c>
      <c r="C5" s="14" t="s">
        <v>14</v>
      </c>
      <c r="D5" s="43">
        <f t="shared" si="0"/>
        <v>8</v>
      </c>
      <c r="E5" s="197"/>
      <c r="F5" s="58"/>
      <c r="G5" s="480"/>
      <c r="H5" s="346"/>
      <c r="I5" s="346"/>
      <c r="J5" s="346"/>
      <c r="K5" s="71" t="s">
        <v>181</v>
      </c>
      <c r="L5" s="14" t="s">
        <v>212</v>
      </c>
      <c r="M5" s="51"/>
      <c r="N5" s="14" t="str">
        <f t="shared" si="1"/>
        <v/>
      </c>
      <c r="O5" s="55"/>
      <c r="P5" s="31" t="str">
        <f t="shared" si="2"/>
        <v/>
      </c>
      <c r="Q5" s="32" t="str">
        <f t="shared" si="3"/>
        <v/>
      </c>
      <c r="R5" s="84" t="s">
        <v>181</v>
      </c>
      <c r="S5" s="14" t="s">
        <v>212</v>
      </c>
      <c r="T5" s="51"/>
      <c r="U5" s="14" t="str">
        <f t="shared" si="4"/>
        <v/>
      </c>
      <c r="V5" s="55"/>
      <c r="W5" s="31" t="str">
        <f t="shared" si="5"/>
        <v/>
      </c>
      <c r="X5" s="32" t="str">
        <f t="shared" si="6"/>
        <v/>
      </c>
      <c r="Y5" s="84" t="s">
        <v>181</v>
      </c>
      <c r="Z5" s="14" t="s">
        <v>212</v>
      </c>
      <c r="AA5" s="51"/>
      <c r="AB5" s="14" t="str">
        <f t="shared" si="7"/>
        <v/>
      </c>
      <c r="AC5" s="55"/>
      <c r="AD5" s="31" t="str">
        <f t="shared" si="8"/>
        <v/>
      </c>
      <c r="AE5" s="32" t="str">
        <f t="shared" si="9"/>
        <v/>
      </c>
      <c r="AF5" s="84" t="s">
        <v>181</v>
      </c>
      <c r="AG5" s="14" t="s">
        <v>212</v>
      </c>
      <c r="AH5" s="51"/>
      <c r="AI5" s="14" t="str">
        <f t="shared" si="10"/>
        <v/>
      </c>
      <c r="AJ5" s="55"/>
      <c r="AK5" s="31" t="str">
        <f t="shared" si="11"/>
        <v/>
      </c>
      <c r="AL5" s="32" t="str">
        <f t="shared" si="12"/>
        <v/>
      </c>
      <c r="AM5" s="84" t="s">
        <v>181</v>
      </c>
      <c r="AN5" s="14" t="s">
        <v>212</v>
      </c>
      <c r="AO5" s="51"/>
      <c r="AP5" s="14" t="str">
        <f t="shared" si="13"/>
        <v/>
      </c>
      <c r="AQ5" s="55"/>
      <c r="AR5" s="31" t="str">
        <f t="shared" si="14"/>
        <v/>
      </c>
      <c r="AS5" s="32" t="str">
        <f t="shared" si="15"/>
        <v/>
      </c>
      <c r="AU5" s="349" t="s">
        <v>212</v>
      </c>
      <c r="AV5" s="14" t="s">
        <v>167</v>
      </c>
      <c r="AW5" s="14" t="s">
        <v>173</v>
      </c>
      <c r="AX5" s="30" t="s">
        <v>178</v>
      </c>
      <c r="AY5" s="78" t="s">
        <v>163</v>
      </c>
      <c r="AZ5" s="44">
        <v>2</v>
      </c>
      <c r="BA5" s="34" t="s">
        <v>80</v>
      </c>
      <c r="BB5" s="34" t="s">
        <v>81</v>
      </c>
      <c r="BC5" s="34" t="s">
        <v>82</v>
      </c>
      <c r="BD5" s="34" t="s">
        <v>83</v>
      </c>
      <c r="BE5" s="34" t="s">
        <v>193</v>
      </c>
    </row>
    <row r="6" spans="1:57" ht="16.5" customHeight="1">
      <c r="A6" s="478"/>
      <c r="B6" s="29">
        <v>5</v>
      </c>
      <c r="C6" s="14" t="s">
        <v>15</v>
      </c>
      <c r="D6" s="43">
        <f t="shared" si="0"/>
        <v>10</v>
      </c>
      <c r="E6" s="197"/>
      <c r="F6" s="58"/>
      <c r="G6" s="480"/>
      <c r="H6" s="346"/>
      <c r="I6" s="346"/>
      <c r="J6" s="346"/>
      <c r="K6" s="73" t="s">
        <v>181</v>
      </c>
      <c r="L6" s="38" t="s">
        <v>213</v>
      </c>
      <c r="M6" s="53"/>
      <c r="N6" s="14" t="str">
        <f t="shared" si="1"/>
        <v/>
      </c>
      <c r="O6" s="57"/>
      <c r="P6" s="31" t="str">
        <f t="shared" ref="P6" si="16">IF($A$1=K6,VLOOKUP(M6,$B$2:$F$9,4,FALSE),"")</f>
        <v/>
      </c>
      <c r="Q6" s="32" t="str">
        <f t="shared" ref="Q6" si="17">IF($A$1=K6,VLOOKUP(M6,$B$2:$F$9,5,FALSE),"")</f>
        <v/>
      </c>
      <c r="R6" s="355" t="s">
        <v>181</v>
      </c>
      <c r="S6" s="38" t="s">
        <v>213</v>
      </c>
      <c r="T6" s="53"/>
      <c r="U6" s="14" t="str">
        <f t="shared" si="4"/>
        <v/>
      </c>
      <c r="V6" s="57"/>
      <c r="W6" s="31" t="str">
        <f t="shared" si="5"/>
        <v/>
      </c>
      <c r="X6" s="32" t="str">
        <f t="shared" si="6"/>
        <v/>
      </c>
      <c r="Y6" s="355" t="s">
        <v>181</v>
      </c>
      <c r="Z6" s="38" t="s">
        <v>213</v>
      </c>
      <c r="AA6" s="53"/>
      <c r="AB6" s="14" t="str">
        <f t="shared" si="7"/>
        <v/>
      </c>
      <c r="AC6" s="57"/>
      <c r="AD6" s="31" t="str">
        <f t="shared" si="8"/>
        <v/>
      </c>
      <c r="AE6" s="32" t="str">
        <f t="shared" si="9"/>
        <v/>
      </c>
      <c r="AF6" s="355" t="s">
        <v>181</v>
      </c>
      <c r="AG6" s="38" t="s">
        <v>213</v>
      </c>
      <c r="AH6" s="53"/>
      <c r="AI6" s="14" t="str">
        <f t="shared" si="10"/>
        <v/>
      </c>
      <c r="AJ6" s="57"/>
      <c r="AK6" s="31" t="str">
        <f t="shared" si="11"/>
        <v/>
      </c>
      <c r="AL6" s="32" t="str">
        <f t="shared" si="12"/>
        <v/>
      </c>
      <c r="AM6" s="355" t="s">
        <v>181</v>
      </c>
      <c r="AN6" s="38" t="s">
        <v>213</v>
      </c>
      <c r="AO6" s="53"/>
      <c r="AP6" s="14" t="str">
        <f t="shared" si="13"/>
        <v/>
      </c>
      <c r="AQ6" s="57"/>
      <c r="AR6" s="31" t="str">
        <f t="shared" si="14"/>
        <v/>
      </c>
      <c r="AS6" s="32" t="str">
        <f t="shared" si="15"/>
        <v/>
      </c>
      <c r="AU6" s="349" t="s">
        <v>213</v>
      </c>
      <c r="AV6" s="14" t="s">
        <v>168</v>
      </c>
      <c r="AW6" s="14" t="s">
        <v>174</v>
      </c>
      <c r="AX6" s="30" t="s">
        <v>179</v>
      </c>
    </row>
    <row r="7" spans="1:57" ht="16.5" customHeight="1" thickBot="1">
      <c r="A7" s="478"/>
      <c r="B7" s="29">
        <v>6</v>
      </c>
      <c r="C7" s="14" t="s">
        <v>16</v>
      </c>
      <c r="D7" s="43">
        <f t="shared" si="0"/>
        <v>12</v>
      </c>
      <c r="E7" s="197"/>
      <c r="F7" s="58"/>
      <c r="G7" s="480"/>
      <c r="H7" s="346"/>
      <c r="I7" s="346"/>
      <c r="J7" s="346"/>
      <c r="K7" s="72" t="s">
        <v>181</v>
      </c>
      <c r="L7" s="34" t="s">
        <v>214</v>
      </c>
      <c r="M7" s="52"/>
      <c r="N7" s="34" t="str">
        <f t="shared" si="1"/>
        <v/>
      </c>
      <c r="O7" s="56"/>
      <c r="P7" s="35" t="str">
        <f t="shared" si="2"/>
        <v/>
      </c>
      <c r="Q7" s="36" t="str">
        <f t="shared" si="3"/>
        <v/>
      </c>
      <c r="R7" s="85" t="s">
        <v>181</v>
      </c>
      <c r="S7" s="34" t="s">
        <v>214</v>
      </c>
      <c r="T7" s="52"/>
      <c r="U7" s="34" t="str">
        <f t="shared" si="4"/>
        <v/>
      </c>
      <c r="V7" s="56"/>
      <c r="W7" s="35" t="str">
        <f t="shared" si="5"/>
        <v/>
      </c>
      <c r="X7" s="36" t="str">
        <f t="shared" si="6"/>
        <v/>
      </c>
      <c r="Y7" s="85" t="s">
        <v>181</v>
      </c>
      <c r="Z7" s="34" t="s">
        <v>214</v>
      </c>
      <c r="AA7" s="52"/>
      <c r="AB7" s="34" t="str">
        <f t="shared" si="7"/>
        <v/>
      </c>
      <c r="AC7" s="56"/>
      <c r="AD7" s="35" t="str">
        <f t="shared" si="8"/>
        <v/>
      </c>
      <c r="AE7" s="36" t="str">
        <f t="shared" si="9"/>
        <v/>
      </c>
      <c r="AF7" s="85" t="s">
        <v>181</v>
      </c>
      <c r="AG7" s="34" t="s">
        <v>214</v>
      </c>
      <c r="AH7" s="52"/>
      <c r="AI7" s="34" t="str">
        <f t="shared" si="10"/>
        <v/>
      </c>
      <c r="AJ7" s="56"/>
      <c r="AK7" s="35" t="str">
        <f t="shared" si="11"/>
        <v/>
      </c>
      <c r="AL7" s="36" t="str">
        <f t="shared" si="12"/>
        <v/>
      </c>
      <c r="AM7" s="85" t="s">
        <v>181</v>
      </c>
      <c r="AN7" s="34" t="s">
        <v>214</v>
      </c>
      <c r="AO7" s="52"/>
      <c r="AP7" s="34" t="str">
        <f t="shared" si="13"/>
        <v/>
      </c>
      <c r="AQ7" s="56"/>
      <c r="AR7" s="35" t="str">
        <f t="shared" si="14"/>
        <v/>
      </c>
      <c r="AS7" s="36" t="str">
        <f t="shared" si="15"/>
        <v/>
      </c>
      <c r="AU7" s="76" t="s">
        <v>214</v>
      </c>
      <c r="AV7" s="34" t="s">
        <v>169</v>
      </c>
      <c r="AW7" s="34"/>
      <c r="AX7" s="37" t="s">
        <v>180</v>
      </c>
    </row>
    <row r="8" spans="1:57" ht="16.5" customHeight="1">
      <c r="A8" s="478"/>
      <c r="B8" s="29">
        <v>7</v>
      </c>
      <c r="C8" s="14" t="s">
        <v>17</v>
      </c>
      <c r="D8" s="43">
        <f t="shared" si="0"/>
        <v>14</v>
      </c>
      <c r="E8" s="197"/>
      <c r="F8" s="58"/>
      <c r="G8" s="480"/>
      <c r="H8" s="346"/>
      <c r="I8" s="346"/>
      <c r="J8" s="346"/>
      <c r="K8" s="70" t="s">
        <v>161</v>
      </c>
      <c r="L8" s="26" t="s">
        <v>164</v>
      </c>
      <c r="M8" s="50">
        <v>2</v>
      </c>
      <c r="N8" s="26">
        <f t="shared" si="1"/>
        <v>4</v>
      </c>
      <c r="O8" s="54">
        <v>2</v>
      </c>
      <c r="P8" s="27">
        <f t="shared" si="2"/>
        <v>0</v>
      </c>
      <c r="Q8" s="28">
        <f t="shared" si="3"/>
        <v>0</v>
      </c>
      <c r="R8" s="70" t="s">
        <v>161</v>
      </c>
      <c r="S8" s="26" t="s">
        <v>164</v>
      </c>
      <c r="T8" s="50">
        <v>2</v>
      </c>
      <c r="U8" s="26">
        <f t="shared" si="4"/>
        <v>4</v>
      </c>
      <c r="V8" s="54">
        <v>2</v>
      </c>
      <c r="W8" s="27">
        <f t="shared" si="5"/>
        <v>0</v>
      </c>
      <c r="X8" s="28">
        <f t="shared" si="6"/>
        <v>0</v>
      </c>
      <c r="Y8" s="70" t="s">
        <v>161</v>
      </c>
      <c r="Z8" s="26" t="s">
        <v>164</v>
      </c>
      <c r="AA8" s="50"/>
      <c r="AB8" s="26">
        <f t="shared" si="7"/>
        <v>0</v>
      </c>
      <c r="AC8" s="54"/>
      <c r="AD8" s="27" t="e">
        <f t="shared" si="8"/>
        <v>#N/A</v>
      </c>
      <c r="AE8" s="28" t="e">
        <f t="shared" si="9"/>
        <v>#N/A</v>
      </c>
      <c r="AF8" s="70" t="s">
        <v>161</v>
      </c>
      <c r="AG8" s="26" t="s">
        <v>164</v>
      </c>
      <c r="AH8" s="50"/>
      <c r="AI8" s="26">
        <f t="shared" si="10"/>
        <v>0</v>
      </c>
      <c r="AJ8" s="54"/>
      <c r="AK8" s="27" t="e">
        <f t="shared" si="11"/>
        <v>#N/A</v>
      </c>
      <c r="AL8" s="28" t="e">
        <f t="shared" si="12"/>
        <v>#N/A</v>
      </c>
      <c r="AM8" s="70" t="s">
        <v>161</v>
      </c>
      <c r="AN8" s="26" t="s">
        <v>164</v>
      </c>
      <c r="AO8" s="50"/>
      <c r="AP8" s="26">
        <f t="shared" si="13"/>
        <v>0</v>
      </c>
      <c r="AQ8" s="54"/>
      <c r="AR8" s="27" t="e">
        <f t="shared" si="14"/>
        <v>#N/A</v>
      </c>
      <c r="AS8" s="28" t="e">
        <f t="shared" si="15"/>
        <v>#N/A</v>
      </c>
    </row>
    <row r="9" spans="1:57" ht="16.5" customHeight="1" thickBot="1">
      <c r="A9" s="479"/>
      <c r="B9" s="33">
        <v>8</v>
      </c>
      <c r="C9" s="34" t="s">
        <v>18</v>
      </c>
      <c r="D9" s="44">
        <f t="shared" si="0"/>
        <v>16</v>
      </c>
      <c r="E9" s="198"/>
      <c r="F9" s="59"/>
      <c r="G9" s="480"/>
      <c r="H9" s="346"/>
      <c r="I9" s="346"/>
      <c r="J9" s="346"/>
      <c r="K9" s="71" t="s">
        <v>161</v>
      </c>
      <c r="L9" s="14" t="s">
        <v>165</v>
      </c>
      <c r="M9" s="51">
        <v>5</v>
      </c>
      <c r="N9" s="14">
        <f t="shared" si="1"/>
        <v>10</v>
      </c>
      <c r="O9" s="55">
        <v>4</v>
      </c>
      <c r="P9" s="31">
        <f t="shared" si="2"/>
        <v>0</v>
      </c>
      <c r="Q9" s="32">
        <f t="shared" si="3"/>
        <v>0</v>
      </c>
      <c r="R9" s="71" t="s">
        <v>161</v>
      </c>
      <c r="S9" s="14" t="s">
        <v>165</v>
      </c>
      <c r="T9" s="51">
        <v>5</v>
      </c>
      <c r="U9" s="14">
        <f t="shared" si="4"/>
        <v>10</v>
      </c>
      <c r="V9" s="55">
        <v>4</v>
      </c>
      <c r="W9" s="31">
        <f t="shared" si="5"/>
        <v>0</v>
      </c>
      <c r="X9" s="32">
        <f t="shared" si="6"/>
        <v>0</v>
      </c>
      <c r="Y9" s="71" t="s">
        <v>161</v>
      </c>
      <c r="Z9" s="14" t="s">
        <v>165</v>
      </c>
      <c r="AA9" s="51"/>
      <c r="AB9" s="14">
        <f t="shared" si="7"/>
        <v>0</v>
      </c>
      <c r="AC9" s="55"/>
      <c r="AD9" s="31" t="e">
        <f t="shared" si="8"/>
        <v>#N/A</v>
      </c>
      <c r="AE9" s="32" t="e">
        <f t="shared" si="9"/>
        <v>#N/A</v>
      </c>
      <c r="AF9" s="71" t="s">
        <v>161</v>
      </c>
      <c r="AG9" s="14" t="s">
        <v>165</v>
      </c>
      <c r="AH9" s="51"/>
      <c r="AI9" s="14">
        <f t="shared" si="10"/>
        <v>0</v>
      </c>
      <c r="AJ9" s="55"/>
      <c r="AK9" s="31" t="e">
        <f t="shared" si="11"/>
        <v>#N/A</v>
      </c>
      <c r="AL9" s="32" t="e">
        <f t="shared" si="12"/>
        <v>#N/A</v>
      </c>
      <c r="AM9" s="71" t="s">
        <v>161</v>
      </c>
      <c r="AN9" s="14" t="s">
        <v>165</v>
      </c>
      <c r="AO9" s="51"/>
      <c r="AP9" s="14">
        <f t="shared" si="13"/>
        <v>0</v>
      </c>
      <c r="AQ9" s="55"/>
      <c r="AR9" s="31" t="e">
        <f t="shared" si="14"/>
        <v>#N/A</v>
      </c>
      <c r="AS9" s="32" t="e">
        <f t="shared" si="15"/>
        <v>#N/A</v>
      </c>
    </row>
    <row r="10" spans="1:57" ht="16.5" customHeight="1">
      <c r="E10" s="11"/>
      <c r="F10" s="11"/>
      <c r="G10" s="480"/>
      <c r="H10" s="346"/>
      <c r="I10" s="346"/>
      <c r="J10" s="346"/>
      <c r="K10" s="71" t="s">
        <v>161</v>
      </c>
      <c r="L10" s="14" t="s">
        <v>166</v>
      </c>
      <c r="M10" s="51">
        <v>2</v>
      </c>
      <c r="N10" s="14">
        <f t="shared" si="1"/>
        <v>4</v>
      </c>
      <c r="O10" s="55">
        <v>1</v>
      </c>
      <c r="P10" s="31">
        <f t="shared" si="2"/>
        <v>0</v>
      </c>
      <c r="Q10" s="32">
        <f t="shared" si="3"/>
        <v>0</v>
      </c>
      <c r="R10" s="71" t="s">
        <v>161</v>
      </c>
      <c r="S10" s="14" t="s">
        <v>166</v>
      </c>
      <c r="T10" s="51">
        <v>2</v>
      </c>
      <c r="U10" s="14">
        <f t="shared" si="4"/>
        <v>4</v>
      </c>
      <c r="V10" s="55">
        <v>1</v>
      </c>
      <c r="W10" s="31">
        <f t="shared" si="5"/>
        <v>0</v>
      </c>
      <c r="X10" s="32">
        <f t="shared" si="6"/>
        <v>0</v>
      </c>
      <c r="Y10" s="71" t="s">
        <v>161</v>
      </c>
      <c r="Z10" s="14" t="s">
        <v>166</v>
      </c>
      <c r="AA10" s="51"/>
      <c r="AB10" s="14">
        <f t="shared" si="7"/>
        <v>0</v>
      </c>
      <c r="AC10" s="55"/>
      <c r="AD10" s="31" t="e">
        <f t="shared" si="8"/>
        <v>#N/A</v>
      </c>
      <c r="AE10" s="32" t="e">
        <f t="shared" si="9"/>
        <v>#N/A</v>
      </c>
      <c r="AF10" s="71" t="s">
        <v>161</v>
      </c>
      <c r="AG10" s="14" t="s">
        <v>166</v>
      </c>
      <c r="AH10" s="51"/>
      <c r="AI10" s="14">
        <f t="shared" si="10"/>
        <v>0</v>
      </c>
      <c r="AJ10" s="55"/>
      <c r="AK10" s="31" t="e">
        <f t="shared" si="11"/>
        <v>#N/A</v>
      </c>
      <c r="AL10" s="32" t="e">
        <f t="shared" si="12"/>
        <v>#N/A</v>
      </c>
      <c r="AM10" s="71" t="s">
        <v>161</v>
      </c>
      <c r="AN10" s="14" t="s">
        <v>166</v>
      </c>
      <c r="AO10" s="51"/>
      <c r="AP10" s="14">
        <f t="shared" si="13"/>
        <v>0</v>
      </c>
      <c r="AQ10" s="55"/>
      <c r="AR10" s="31" t="e">
        <f t="shared" si="14"/>
        <v>#N/A</v>
      </c>
      <c r="AS10" s="32" t="e">
        <f t="shared" si="15"/>
        <v>#N/A</v>
      </c>
    </row>
    <row r="11" spans="1:57" ht="16.5" customHeight="1">
      <c r="E11" s="11"/>
      <c r="F11" s="11"/>
      <c r="G11" s="480"/>
      <c r="H11" s="346"/>
      <c r="I11" s="346"/>
      <c r="J11" s="346"/>
      <c r="K11" s="71" t="s">
        <v>161</v>
      </c>
      <c r="L11" s="14" t="s">
        <v>182</v>
      </c>
      <c r="M11" s="51">
        <v>2</v>
      </c>
      <c r="N11" s="14">
        <f>IF($A$1=K11,M11*2,"")</f>
        <v>4</v>
      </c>
      <c r="O11" s="55">
        <v>2</v>
      </c>
      <c r="P11" s="31">
        <f t="shared" ref="P11" si="18">IF($A$1=K11,VLOOKUP(M11,$B$2:$F$9,4,FALSE),"")</f>
        <v>0</v>
      </c>
      <c r="Q11" s="32">
        <f t="shared" ref="Q11" si="19">IF($A$1=K11,VLOOKUP(M11,$B$2:$F$9,5,FALSE),"")</f>
        <v>0</v>
      </c>
      <c r="R11" s="71" t="s">
        <v>161</v>
      </c>
      <c r="S11" s="14" t="s">
        <v>182</v>
      </c>
      <c r="T11" s="51">
        <v>2</v>
      </c>
      <c r="U11" s="14">
        <f>IF($A$1=R11,T11*2,"")</f>
        <v>4</v>
      </c>
      <c r="V11" s="55">
        <v>2</v>
      </c>
      <c r="W11" s="31">
        <f t="shared" si="5"/>
        <v>0</v>
      </c>
      <c r="X11" s="32">
        <f t="shared" si="6"/>
        <v>0</v>
      </c>
      <c r="Y11" s="71" t="s">
        <v>161</v>
      </c>
      <c r="Z11" s="14" t="s">
        <v>182</v>
      </c>
      <c r="AA11" s="51"/>
      <c r="AB11" s="14">
        <f>IF($A$1=Y11,AA11*2,"")</f>
        <v>0</v>
      </c>
      <c r="AC11" s="55"/>
      <c r="AD11" s="31" t="e">
        <f t="shared" si="8"/>
        <v>#N/A</v>
      </c>
      <c r="AE11" s="32" t="e">
        <f t="shared" si="9"/>
        <v>#N/A</v>
      </c>
      <c r="AF11" s="71" t="s">
        <v>161</v>
      </c>
      <c r="AG11" s="14" t="s">
        <v>182</v>
      </c>
      <c r="AH11" s="51"/>
      <c r="AI11" s="14">
        <f>IF($A$1=AF11,AH11*2,"")</f>
        <v>0</v>
      </c>
      <c r="AJ11" s="55"/>
      <c r="AK11" s="31" t="e">
        <f t="shared" si="11"/>
        <v>#N/A</v>
      </c>
      <c r="AL11" s="32" t="e">
        <f t="shared" si="12"/>
        <v>#N/A</v>
      </c>
      <c r="AM11" s="71" t="s">
        <v>161</v>
      </c>
      <c r="AN11" s="14" t="s">
        <v>182</v>
      </c>
      <c r="AO11" s="51"/>
      <c r="AP11" s="14">
        <f>IF($A$1=AM11,AO11*2,"")</f>
        <v>0</v>
      </c>
      <c r="AQ11" s="55"/>
      <c r="AR11" s="31" t="e">
        <f t="shared" si="14"/>
        <v>#N/A</v>
      </c>
      <c r="AS11" s="32" t="e">
        <f t="shared" si="15"/>
        <v>#N/A</v>
      </c>
    </row>
    <row r="12" spans="1:57" ht="16.5" customHeight="1">
      <c r="E12" s="11"/>
      <c r="F12" s="11"/>
      <c r="K12" s="71" t="s">
        <v>161</v>
      </c>
      <c r="L12" s="14" t="s">
        <v>183</v>
      </c>
      <c r="M12" s="51">
        <v>1</v>
      </c>
      <c r="N12" s="14">
        <f t="shared" si="1"/>
        <v>2</v>
      </c>
      <c r="O12" s="55">
        <v>1</v>
      </c>
      <c r="P12" s="31">
        <f t="shared" si="2"/>
        <v>0</v>
      </c>
      <c r="Q12" s="32">
        <f t="shared" si="3"/>
        <v>0</v>
      </c>
      <c r="R12" s="71" t="s">
        <v>161</v>
      </c>
      <c r="S12" s="14" t="s">
        <v>183</v>
      </c>
      <c r="T12" s="51">
        <v>1</v>
      </c>
      <c r="U12" s="14">
        <f t="shared" ref="U12:U15" si="20">IF($A$1=R12,T12*2,"")</f>
        <v>2</v>
      </c>
      <c r="V12" s="55">
        <v>1</v>
      </c>
      <c r="W12" s="31">
        <f t="shared" si="5"/>
        <v>0</v>
      </c>
      <c r="X12" s="32">
        <f t="shared" si="6"/>
        <v>0</v>
      </c>
      <c r="Y12" s="71" t="s">
        <v>161</v>
      </c>
      <c r="Z12" s="14" t="s">
        <v>183</v>
      </c>
      <c r="AA12" s="51"/>
      <c r="AB12" s="14">
        <f t="shared" ref="AB12:AB15" si="21">IF($A$1=Y12,AA12*2,"")</f>
        <v>0</v>
      </c>
      <c r="AC12" s="55"/>
      <c r="AD12" s="31" t="e">
        <f t="shared" si="8"/>
        <v>#N/A</v>
      </c>
      <c r="AE12" s="32" t="e">
        <f t="shared" si="9"/>
        <v>#N/A</v>
      </c>
      <c r="AF12" s="71" t="s">
        <v>161</v>
      </c>
      <c r="AG12" s="14" t="s">
        <v>183</v>
      </c>
      <c r="AH12" s="51"/>
      <c r="AI12" s="14">
        <f t="shared" ref="AI12:AI15" si="22">IF($A$1=AF12,AH12*2,"")</f>
        <v>0</v>
      </c>
      <c r="AJ12" s="55"/>
      <c r="AK12" s="31" t="e">
        <f t="shared" si="11"/>
        <v>#N/A</v>
      </c>
      <c r="AL12" s="32" t="e">
        <f t="shared" si="12"/>
        <v>#N/A</v>
      </c>
      <c r="AM12" s="71" t="s">
        <v>161</v>
      </c>
      <c r="AN12" s="14" t="s">
        <v>183</v>
      </c>
      <c r="AO12" s="51"/>
      <c r="AP12" s="14">
        <f t="shared" ref="AP12:AP15" si="23">IF($A$1=AM12,AO12*2,"")</f>
        <v>0</v>
      </c>
      <c r="AQ12" s="55"/>
      <c r="AR12" s="31" t="e">
        <f t="shared" si="14"/>
        <v>#N/A</v>
      </c>
      <c r="AS12" s="32" t="e">
        <f t="shared" si="15"/>
        <v>#N/A</v>
      </c>
    </row>
    <row r="13" spans="1:57" ht="16.5" customHeight="1" thickBot="1">
      <c r="E13" s="11"/>
      <c r="F13" s="11"/>
      <c r="K13" s="72" t="s">
        <v>161</v>
      </c>
      <c r="L13" s="34" t="s">
        <v>169</v>
      </c>
      <c r="M13" s="52">
        <v>3</v>
      </c>
      <c r="N13" s="34">
        <f t="shared" si="1"/>
        <v>6</v>
      </c>
      <c r="O13" s="56">
        <v>2</v>
      </c>
      <c r="P13" s="35">
        <f t="shared" si="2"/>
        <v>0</v>
      </c>
      <c r="Q13" s="36">
        <f t="shared" si="3"/>
        <v>0</v>
      </c>
      <c r="R13" s="72" t="s">
        <v>161</v>
      </c>
      <c r="S13" s="34" t="s">
        <v>169</v>
      </c>
      <c r="T13" s="52">
        <v>3</v>
      </c>
      <c r="U13" s="34">
        <f t="shared" si="20"/>
        <v>6</v>
      </c>
      <c r="V13" s="56">
        <v>2</v>
      </c>
      <c r="W13" s="35">
        <f t="shared" si="5"/>
        <v>0</v>
      </c>
      <c r="X13" s="36">
        <f t="shared" si="6"/>
        <v>0</v>
      </c>
      <c r="Y13" s="72" t="s">
        <v>161</v>
      </c>
      <c r="Z13" s="34" t="s">
        <v>169</v>
      </c>
      <c r="AA13" s="52"/>
      <c r="AB13" s="34">
        <f t="shared" si="21"/>
        <v>0</v>
      </c>
      <c r="AC13" s="56"/>
      <c r="AD13" s="35" t="e">
        <f t="shared" si="8"/>
        <v>#N/A</v>
      </c>
      <c r="AE13" s="36" t="e">
        <f t="shared" si="9"/>
        <v>#N/A</v>
      </c>
      <c r="AF13" s="72" t="s">
        <v>161</v>
      </c>
      <c r="AG13" s="34" t="s">
        <v>169</v>
      </c>
      <c r="AH13" s="52"/>
      <c r="AI13" s="34">
        <f t="shared" si="22"/>
        <v>0</v>
      </c>
      <c r="AJ13" s="56"/>
      <c r="AK13" s="35" t="e">
        <f t="shared" si="11"/>
        <v>#N/A</v>
      </c>
      <c r="AL13" s="36" t="e">
        <f t="shared" si="12"/>
        <v>#N/A</v>
      </c>
      <c r="AM13" s="72" t="s">
        <v>161</v>
      </c>
      <c r="AN13" s="34" t="s">
        <v>169</v>
      </c>
      <c r="AO13" s="52"/>
      <c r="AP13" s="34">
        <f t="shared" si="23"/>
        <v>0</v>
      </c>
      <c r="AQ13" s="56"/>
      <c r="AR13" s="35" t="e">
        <f t="shared" si="14"/>
        <v>#N/A</v>
      </c>
      <c r="AS13" s="36" t="e">
        <f t="shared" si="15"/>
        <v>#N/A</v>
      </c>
    </row>
    <row r="14" spans="1:57" ht="16.5" customHeight="1">
      <c r="E14" s="11"/>
      <c r="F14" s="11"/>
      <c r="K14" s="74" t="s">
        <v>185</v>
      </c>
      <c r="L14" s="26" t="s">
        <v>186</v>
      </c>
      <c r="M14" s="50"/>
      <c r="N14" s="26" t="str">
        <f t="shared" si="1"/>
        <v/>
      </c>
      <c r="O14" s="54"/>
      <c r="P14" s="27" t="str">
        <f t="shared" si="2"/>
        <v/>
      </c>
      <c r="Q14" s="28" t="str">
        <f t="shared" si="3"/>
        <v/>
      </c>
      <c r="R14" s="74" t="s">
        <v>185</v>
      </c>
      <c r="S14" s="26" t="s">
        <v>186</v>
      </c>
      <c r="T14" s="50"/>
      <c r="U14" s="26" t="str">
        <f t="shared" si="20"/>
        <v/>
      </c>
      <c r="V14" s="54"/>
      <c r="W14" s="27" t="str">
        <f t="shared" si="5"/>
        <v/>
      </c>
      <c r="X14" s="28" t="str">
        <f t="shared" si="6"/>
        <v/>
      </c>
      <c r="Y14" s="74" t="s">
        <v>185</v>
      </c>
      <c r="Z14" s="26" t="s">
        <v>186</v>
      </c>
      <c r="AA14" s="50"/>
      <c r="AB14" s="26" t="str">
        <f t="shared" si="21"/>
        <v/>
      </c>
      <c r="AC14" s="54"/>
      <c r="AD14" s="27" t="str">
        <f t="shared" si="8"/>
        <v/>
      </c>
      <c r="AE14" s="28" t="str">
        <f t="shared" si="9"/>
        <v/>
      </c>
      <c r="AF14" s="74" t="s">
        <v>185</v>
      </c>
      <c r="AG14" s="26" t="s">
        <v>186</v>
      </c>
      <c r="AH14" s="50"/>
      <c r="AI14" s="26" t="str">
        <f t="shared" si="22"/>
        <v/>
      </c>
      <c r="AJ14" s="54"/>
      <c r="AK14" s="27" t="str">
        <f t="shared" si="11"/>
        <v/>
      </c>
      <c r="AL14" s="28" t="str">
        <f t="shared" si="12"/>
        <v/>
      </c>
      <c r="AM14" s="74" t="s">
        <v>185</v>
      </c>
      <c r="AN14" s="26" t="s">
        <v>186</v>
      </c>
      <c r="AO14" s="50"/>
      <c r="AP14" s="26" t="str">
        <f t="shared" si="23"/>
        <v/>
      </c>
      <c r="AQ14" s="54"/>
      <c r="AR14" s="27" t="str">
        <f t="shared" si="14"/>
        <v/>
      </c>
      <c r="AS14" s="28" t="str">
        <f t="shared" si="15"/>
        <v/>
      </c>
    </row>
    <row r="15" spans="1:57" ht="16.5" customHeight="1">
      <c r="E15" s="11"/>
      <c r="F15" s="11"/>
      <c r="K15" s="75" t="s">
        <v>184</v>
      </c>
      <c r="L15" s="14" t="s">
        <v>171</v>
      </c>
      <c r="M15" s="51"/>
      <c r="N15" s="14" t="str">
        <f t="shared" si="1"/>
        <v/>
      </c>
      <c r="O15" s="55"/>
      <c r="P15" s="31" t="str">
        <f t="shared" si="2"/>
        <v/>
      </c>
      <c r="Q15" s="32" t="str">
        <f t="shared" si="3"/>
        <v/>
      </c>
      <c r="R15" s="349" t="s">
        <v>184</v>
      </c>
      <c r="S15" s="14" t="s">
        <v>171</v>
      </c>
      <c r="T15" s="51"/>
      <c r="U15" s="14" t="str">
        <f t="shared" si="20"/>
        <v/>
      </c>
      <c r="V15" s="55"/>
      <c r="W15" s="31" t="str">
        <f t="shared" si="5"/>
        <v/>
      </c>
      <c r="X15" s="32" t="str">
        <f t="shared" si="6"/>
        <v/>
      </c>
      <c r="Y15" s="349" t="s">
        <v>184</v>
      </c>
      <c r="Z15" s="14" t="s">
        <v>171</v>
      </c>
      <c r="AA15" s="51"/>
      <c r="AB15" s="14" t="str">
        <f t="shared" si="21"/>
        <v/>
      </c>
      <c r="AC15" s="55"/>
      <c r="AD15" s="31" t="str">
        <f t="shared" si="8"/>
        <v/>
      </c>
      <c r="AE15" s="32" t="str">
        <f t="shared" si="9"/>
        <v/>
      </c>
      <c r="AF15" s="349" t="s">
        <v>184</v>
      </c>
      <c r="AG15" s="14" t="s">
        <v>171</v>
      </c>
      <c r="AH15" s="51"/>
      <c r="AI15" s="14" t="str">
        <f t="shared" si="22"/>
        <v/>
      </c>
      <c r="AJ15" s="55"/>
      <c r="AK15" s="31" t="str">
        <f t="shared" si="11"/>
        <v/>
      </c>
      <c r="AL15" s="32" t="str">
        <f t="shared" si="12"/>
        <v/>
      </c>
      <c r="AM15" s="349" t="s">
        <v>184</v>
      </c>
      <c r="AN15" s="14" t="s">
        <v>171</v>
      </c>
      <c r="AO15" s="51"/>
      <c r="AP15" s="14" t="str">
        <f t="shared" si="23"/>
        <v/>
      </c>
      <c r="AQ15" s="55"/>
      <c r="AR15" s="31" t="str">
        <f t="shared" si="14"/>
        <v/>
      </c>
      <c r="AS15" s="32" t="str">
        <f t="shared" si="15"/>
        <v/>
      </c>
    </row>
    <row r="16" spans="1:57" ht="16.5" customHeight="1">
      <c r="E16" s="11"/>
      <c r="F16" s="11"/>
      <c r="K16" s="75" t="s">
        <v>184</v>
      </c>
      <c r="L16" s="14" t="s">
        <v>172</v>
      </c>
      <c r="M16" s="51"/>
      <c r="N16" s="14" t="str">
        <f>IF($A$1=K16,M16*2,"")</f>
        <v/>
      </c>
      <c r="O16" s="55"/>
      <c r="P16" s="31" t="str">
        <f t="shared" si="2"/>
        <v/>
      </c>
      <c r="Q16" s="32" t="str">
        <f t="shared" si="3"/>
        <v/>
      </c>
      <c r="R16" s="349" t="s">
        <v>184</v>
      </c>
      <c r="S16" s="14" t="s">
        <v>172</v>
      </c>
      <c r="T16" s="51"/>
      <c r="U16" s="14" t="str">
        <f>IF($A$1=R16,T16*2,"")</f>
        <v/>
      </c>
      <c r="V16" s="55"/>
      <c r="W16" s="31" t="str">
        <f t="shared" si="5"/>
        <v/>
      </c>
      <c r="X16" s="32" t="str">
        <f t="shared" si="6"/>
        <v/>
      </c>
      <c r="Y16" s="349" t="s">
        <v>184</v>
      </c>
      <c r="Z16" s="14" t="s">
        <v>172</v>
      </c>
      <c r="AA16" s="51"/>
      <c r="AB16" s="14" t="str">
        <f>IF($A$1=Y16,AA16*2,"")</f>
        <v/>
      </c>
      <c r="AC16" s="55"/>
      <c r="AD16" s="31" t="str">
        <f t="shared" si="8"/>
        <v/>
      </c>
      <c r="AE16" s="32" t="str">
        <f t="shared" si="9"/>
        <v/>
      </c>
      <c r="AF16" s="349" t="s">
        <v>184</v>
      </c>
      <c r="AG16" s="14" t="s">
        <v>172</v>
      </c>
      <c r="AH16" s="51"/>
      <c r="AI16" s="14" t="str">
        <f>IF($A$1=AF16,AH16*2,"")</f>
        <v/>
      </c>
      <c r="AJ16" s="55"/>
      <c r="AK16" s="31" t="str">
        <f t="shared" si="11"/>
        <v/>
      </c>
      <c r="AL16" s="32" t="str">
        <f t="shared" si="12"/>
        <v/>
      </c>
      <c r="AM16" s="349" t="s">
        <v>184</v>
      </c>
      <c r="AN16" s="14" t="s">
        <v>172</v>
      </c>
      <c r="AO16" s="51"/>
      <c r="AP16" s="14" t="str">
        <f>IF($A$1=AM16,AO16*2,"")</f>
        <v/>
      </c>
      <c r="AQ16" s="55"/>
      <c r="AR16" s="31" t="str">
        <f t="shared" si="14"/>
        <v/>
      </c>
      <c r="AS16" s="32" t="str">
        <f t="shared" si="15"/>
        <v/>
      </c>
    </row>
    <row r="17" spans="1:45" ht="16.5" customHeight="1">
      <c r="E17" s="11"/>
      <c r="F17" s="11"/>
      <c r="K17" s="75" t="s">
        <v>184</v>
      </c>
      <c r="L17" s="14" t="s">
        <v>173</v>
      </c>
      <c r="M17" s="51"/>
      <c r="N17" s="14" t="str">
        <f t="shared" si="1"/>
        <v/>
      </c>
      <c r="O17" s="55"/>
      <c r="P17" s="31" t="str">
        <f>IF($A$1=K17,VLOOKUP(M17,$B$2:$F$9,4,FALSE),"")</f>
        <v/>
      </c>
      <c r="Q17" s="32" t="str">
        <f t="shared" si="3"/>
        <v/>
      </c>
      <c r="R17" s="349" t="s">
        <v>184</v>
      </c>
      <c r="S17" s="14" t="s">
        <v>173</v>
      </c>
      <c r="T17" s="51"/>
      <c r="U17" s="14" t="str">
        <f t="shared" ref="U17:U18" si="24">IF($A$1=R17,T17*2,"")</f>
        <v/>
      </c>
      <c r="V17" s="55"/>
      <c r="W17" s="31" t="str">
        <f>IF($A$1=R17,VLOOKUP(T17,$B$2:$F$9,4,FALSE),"")</f>
        <v/>
      </c>
      <c r="X17" s="32" t="str">
        <f t="shared" si="6"/>
        <v/>
      </c>
      <c r="Y17" s="349" t="s">
        <v>184</v>
      </c>
      <c r="Z17" s="14" t="s">
        <v>173</v>
      </c>
      <c r="AA17" s="51"/>
      <c r="AB17" s="14" t="str">
        <f t="shared" ref="AB17:AB18" si="25">IF($A$1=Y17,AA17*2,"")</f>
        <v/>
      </c>
      <c r="AC17" s="55"/>
      <c r="AD17" s="31" t="str">
        <f>IF($A$1=Y17,VLOOKUP(AA17,$B$2:$F$9,4,FALSE),"")</f>
        <v/>
      </c>
      <c r="AE17" s="32" t="str">
        <f t="shared" si="9"/>
        <v/>
      </c>
      <c r="AF17" s="349" t="s">
        <v>184</v>
      </c>
      <c r="AG17" s="14" t="s">
        <v>173</v>
      </c>
      <c r="AH17" s="51"/>
      <c r="AI17" s="14" t="str">
        <f t="shared" ref="AI17:AI18" si="26">IF($A$1=AF17,AH17*2,"")</f>
        <v/>
      </c>
      <c r="AJ17" s="55"/>
      <c r="AK17" s="31" t="str">
        <f>IF($A$1=AF17,VLOOKUP(AH17,$B$2:$F$9,4,FALSE),"")</f>
        <v/>
      </c>
      <c r="AL17" s="32" t="str">
        <f t="shared" si="12"/>
        <v/>
      </c>
      <c r="AM17" s="349" t="s">
        <v>184</v>
      </c>
      <c r="AN17" s="14" t="s">
        <v>173</v>
      </c>
      <c r="AO17" s="51"/>
      <c r="AP17" s="14" t="str">
        <f t="shared" ref="AP17:AP18" si="27">IF($A$1=AM17,AO17*2,"")</f>
        <v/>
      </c>
      <c r="AQ17" s="55"/>
      <c r="AR17" s="31" t="str">
        <f>IF($A$1=AM17,VLOOKUP(AO17,$B$2:$F$9,4,FALSE),"")</f>
        <v/>
      </c>
      <c r="AS17" s="32" t="str">
        <f t="shared" si="15"/>
        <v/>
      </c>
    </row>
    <row r="18" spans="1:45" ht="16.5" customHeight="1" thickBot="1">
      <c r="E18" s="11"/>
      <c r="F18" s="11"/>
      <c r="K18" s="199" t="s">
        <v>184</v>
      </c>
      <c r="L18" s="38" t="s">
        <v>174</v>
      </c>
      <c r="M18" s="53"/>
      <c r="N18" s="38" t="str">
        <f t="shared" si="1"/>
        <v/>
      </c>
      <c r="O18" s="57"/>
      <c r="P18" s="39" t="str">
        <f t="shared" si="2"/>
        <v/>
      </c>
      <c r="Q18" s="40" t="str">
        <f t="shared" si="3"/>
        <v/>
      </c>
      <c r="R18" s="352" t="s">
        <v>184</v>
      </c>
      <c r="S18" s="38" t="s">
        <v>174</v>
      </c>
      <c r="T18" s="53"/>
      <c r="U18" s="38" t="str">
        <f t="shared" si="24"/>
        <v/>
      </c>
      <c r="V18" s="57"/>
      <c r="W18" s="39" t="str">
        <f t="shared" ref="W18" si="28">IF($A$1=R18,VLOOKUP(T18,$B$2:$F$9,4,FALSE),"")</f>
        <v/>
      </c>
      <c r="X18" s="40" t="str">
        <f t="shared" si="6"/>
        <v/>
      </c>
      <c r="Y18" s="352" t="s">
        <v>184</v>
      </c>
      <c r="Z18" s="38" t="s">
        <v>174</v>
      </c>
      <c r="AA18" s="53"/>
      <c r="AB18" s="38" t="str">
        <f t="shared" si="25"/>
        <v/>
      </c>
      <c r="AC18" s="57"/>
      <c r="AD18" s="39" t="str">
        <f t="shared" ref="AD18" si="29">IF($A$1=Y18,VLOOKUP(AA18,$B$2:$F$9,4,FALSE),"")</f>
        <v/>
      </c>
      <c r="AE18" s="40" t="str">
        <f t="shared" si="9"/>
        <v/>
      </c>
      <c r="AF18" s="352" t="s">
        <v>184</v>
      </c>
      <c r="AG18" s="38" t="s">
        <v>174</v>
      </c>
      <c r="AH18" s="53"/>
      <c r="AI18" s="38" t="str">
        <f t="shared" si="26"/>
        <v/>
      </c>
      <c r="AJ18" s="57"/>
      <c r="AK18" s="39" t="str">
        <f t="shared" ref="AK18" si="30">IF($A$1=AF18,VLOOKUP(AH18,$B$2:$F$9,4,FALSE),"")</f>
        <v/>
      </c>
      <c r="AL18" s="40" t="str">
        <f t="shared" si="12"/>
        <v/>
      </c>
      <c r="AM18" s="352" t="s">
        <v>184</v>
      </c>
      <c r="AN18" s="38" t="s">
        <v>174</v>
      </c>
      <c r="AO18" s="53"/>
      <c r="AP18" s="38" t="str">
        <f t="shared" si="27"/>
        <v/>
      </c>
      <c r="AQ18" s="57"/>
      <c r="AR18" s="39" t="str">
        <f t="shared" ref="AR18" si="31">IF($A$1=AM18,VLOOKUP(AO18,$B$2:$F$9,4,FALSE),"")</f>
        <v/>
      </c>
      <c r="AS18" s="40" t="str">
        <f t="shared" si="15"/>
        <v/>
      </c>
    </row>
    <row r="19" spans="1:45" ht="16.5" customHeight="1" thickBot="1">
      <c r="A19" s="1" t="str">
        <f>入札額積算資料・見積書!A17</f>
        <v>令和8年度のびのびルーム</v>
      </c>
      <c r="B19" s="10"/>
      <c r="C19" s="6"/>
      <c r="D19" s="6"/>
      <c r="E19" s="6"/>
      <c r="F19" s="6"/>
      <c r="G19" s="6"/>
      <c r="H19" s="6"/>
      <c r="I19" s="6"/>
      <c r="K19" s="74" t="s">
        <v>187</v>
      </c>
      <c r="L19" s="26" t="s">
        <v>188</v>
      </c>
      <c r="M19" s="50"/>
      <c r="N19" s="26" t="str">
        <f>IF($A$1=K19,M19*2,"")</f>
        <v/>
      </c>
      <c r="O19" s="54"/>
      <c r="P19" s="27" t="str">
        <f>IF($A$1=K19,VLOOKUP(M19,$B$2:$F$9,4,FALSE),"")</f>
        <v/>
      </c>
      <c r="Q19" s="28" t="str">
        <f t="shared" si="3"/>
        <v/>
      </c>
      <c r="R19" s="74" t="s">
        <v>187</v>
      </c>
      <c r="S19" s="26" t="s">
        <v>188</v>
      </c>
      <c r="T19" s="50"/>
      <c r="U19" s="26" t="str">
        <f>IF($A$1=R19,T19*2,"")</f>
        <v/>
      </c>
      <c r="V19" s="54"/>
      <c r="W19" s="27" t="str">
        <f>IF($A$1=R19,VLOOKUP(T19,$B$2:$F$9,4,FALSE),"")</f>
        <v/>
      </c>
      <c r="X19" s="28" t="str">
        <f t="shared" si="6"/>
        <v/>
      </c>
      <c r="Y19" s="74" t="s">
        <v>187</v>
      </c>
      <c r="Z19" s="26" t="s">
        <v>188</v>
      </c>
      <c r="AA19" s="50"/>
      <c r="AB19" s="26" t="str">
        <f>IF($A$1=Y19,AA19*2,"")</f>
        <v/>
      </c>
      <c r="AC19" s="54"/>
      <c r="AD19" s="27" t="str">
        <f>IF($A$1=Y19,VLOOKUP(AA19,$B$2:$F$9,4,FALSE),"")</f>
        <v/>
      </c>
      <c r="AE19" s="28" t="str">
        <f t="shared" si="9"/>
        <v/>
      </c>
      <c r="AF19" s="74" t="s">
        <v>187</v>
      </c>
      <c r="AG19" s="26" t="s">
        <v>188</v>
      </c>
      <c r="AH19" s="50"/>
      <c r="AI19" s="26" t="str">
        <f>IF($A$1=AF19,AH19*2,"")</f>
        <v/>
      </c>
      <c r="AJ19" s="54"/>
      <c r="AK19" s="27" t="str">
        <f>IF($A$1=AF19,VLOOKUP(AH19,$B$2:$F$9,4,FALSE),"")</f>
        <v/>
      </c>
      <c r="AL19" s="28" t="str">
        <f t="shared" si="12"/>
        <v/>
      </c>
      <c r="AM19" s="74" t="s">
        <v>187</v>
      </c>
      <c r="AN19" s="26" t="s">
        <v>188</v>
      </c>
      <c r="AO19" s="50"/>
      <c r="AP19" s="26" t="str">
        <f>IF($A$1=AM19,AO19*2,"")</f>
        <v/>
      </c>
      <c r="AQ19" s="54"/>
      <c r="AR19" s="27" t="str">
        <f>IF($A$1=AM19,VLOOKUP(AO19,$B$2:$F$9,4,FALSE),"")</f>
        <v/>
      </c>
      <c r="AS19" s="28" t="str">
        <f t="shared" si="15"/>
        <v/>
      </c>
    </row>
    <row r="20" spans="1:45" ht="16.5" customHeight="1">
      <c r="A20" s="440" t="str">
        <f>入札額積算資料・見積書!A18</f>
        <v>学校名</v>
      </c>
      <c r="B20" s="428" t="e">
        <f>入札額積算資料・見積書!#REF!</f>
        <v>#REF!</v>
      </c>
      <c r="C20" s="430" t="str">
        <f>入札額積算資料・見積書!B18</f>
        <v>組織数</v>
      </c>
      <c r="D20" s="430" t="str">
        <f>入札額積算資料・見積書!C18</f>
        <v>配置
基準</v>
      </c>
      <c r="E20" s="428" t="str">
        <f>入札額積算資料・見積書!D18</f>
        <v>人件費
（税抜）</v>
      </c>
      <c r="F20" s="428" t="str">
        <f>入札額積算資料・見積書!E18</f>
        <v>物件費
（税抜）</v>
      </c>
      <c r="G20" s="430" t="str">
        <f>入札額積算資料・見積書!F18</f>
        <v>人件費と物件費
の計（税抜）</v>
      </c>
      <c r="H20" s="436" t="str">
        <f>入札額積算資料・見積書!G18</f>
        <v>処遇改善</v>
      </c>
      <c r="I20" s="438" t="str">
        <f>入札額積算資料・見積書!H18</f>
        <v>追加配置
指導員数</v>
      </c>
      <c r="K20" s="75" t="s">
        <v>187</v>
      </c>
      <c r="L20" s="14" t="s">
        <v>189</v>
      </c>
      <c r="M20" s="51"/>
      <c r="N20" s="14" t="str">
        <f t="shared" si="1"/>
        <v/>
      </c>
      <c r="O20" s="55"/>
      <c r="P20" s="31" t="str">
        <f t="shared" si="2"/>
        <v/>
      </c>
      <c r="Q20" s="32" t="str">
        <f t="shared" si="3"/>
        <v/>
      </c>
      <c r="R20" s="349" t="s">
        <v>187</v>
      </c>
      <c r="S20" s="14" t="s">
        <v>189</v>
      </c>
      <c r="T20" s="51"/>
      <c r="U20" s="14" t="str">
        <f t="shared" ref="U20:U21" si="32">IF($A$1=R20,T20*2,"")</f>
        <v/>
      </c>
      <c r="V20" s="55"/>
      <c r="W20" s="31" t="str">
        <f t="shared" ref="W20:W24" si="33">IF($A$1=R20,VLOOKUP(T20,$B$2:$F$9,4,FALSE),"")</f>
        <v/>
      </c>
      <c r="X20" s="32" t="str">
        <f t="shared" si="6"/>
        <v/>
      </c>
      <c r="Y20" s="349" t="s">
        <v>187</v>
      </c>
      <c r="Z20" s="14" t="s">
        <v>189</v>
      </c>
      <c r="AA20" s="51"/>
      <c r="AB20" s="14" t="str">
        <f t="shared" ref="AB20:AB21" si="34">IF($A$1=Y20,AA20*2,"")</f>
        <v/>
      </c>
      <c r="AC20" s="55"/>
      <c r="AD20" s="31" t="str">
        <f t="shared" ref="AD20:AD24" si="35">IF($A$1=Y20,VLOOKUP(AA20,$B$2:$F$9,4,FALSE),"")</f>
        <v/>
      </c>
      <c r="AE20" s="32" t="str">
        <f t="shared" si="9"/>
        <v/>
      </c>
      <c r="AF20" s="349" t="s">
        <v>187</v>
      </c>
      <c r="AG20" s="14" t="s">
        <v>189</v>
      </c>
      <c r="AH20" s="51"/>
      <c r="AI20" s="14" t="str">
        <f t="shared" ref="AI20:AI21" si="36">IF($A$1=AF20,AH20*2,"")</f>
        <v/>
      </c>
      <c r="AJ20" s="55"/>
      <c r="AK20" s="31" t="str">
        <f t="shared" ref="AK20:AK24" si="37">IF($A$1=AF20,VLOOKUP(AH20,$B$2:$F$9,4,FALSE),"")</f>
        <v/>
      </c>
      <c r="AL20" s="32" t="str">
        <f t="shared" si="12"/>
        <v/>
      </c>
      <c r="AM20" s="349" t="s">
        <v>187</v>
      </c>
      <c r="AN20" s="14" t="s">
        <v>189</v>
      </c>
      <c r="AO20" s="51"/>
      <c r="AP20" s="14" t="str">
        <f t="shared" ref="AP20:AP21" si="38">IF($A$1=AM20,AO20*2,"")</f>
        <v/>
      </c>
      <c r="AQ20" s="55"/>
      <c r="AR20" s="31" t="str">
        <f t="shared" ref="AR20:AR24" si="39">IF($A$1=AM20,VLOOKUP(AO20,$B$2:$F$9,4,FALSE),"")</f>
        <v/>
      </c>
      <c r="AS20" s="32" t="str">
        <f t="shared" si="15"/>
        <v/>
      </c>
    </row>
    <row r="21" spans="1:45" ht="16.5" customHeight="1" thickBot="1">
      <c r="A21" s="441">
        <f>入札額積算資料・見積書!A19</f>
        <v>0</v>
      </c>
      <c r="B21" s="429" t="e">
        <f>入札額積算資料・見積書!#REF!</f>
        <v>#REF!</v>
      </c>
      <c r="C21" s="431">
        <f>入札額積算資料・見積書!B19</f>
        <v>0</v>
      </c>
      <c r="D21" s="431">
        <f>入札額積算資料・見積書!C19</f>
        <v>0</v>
      </c>
      <c r="E21" s="429">
        <f>入札額積算資料・見積書!D19</f>
        <v>0</v>
      </c>
      <c r="F21" s="429">
        <f>入札額積算資料・見積書!E19</f>
        <v>0</v>
      </c>
      <c r="G21" s="431">
        <f>入札額積算資料・見積書!F19</f>
        <v>0</v>
      </c>
      <c r="H21" s="437">
        <f>入札額積算資料・見積書!G19</f>
        <v>0</v>
      </c>
      <c r="I21" s="439">
        <f>入札額積算資料・見積書!H19</f>
        <v>0</v>
      </c>
      <c r="K21" s="75" t="s">
        <v>187</v>
      </c>
      <c r="L21" s="14" t="s">
        <v>190</v>
      </c>
      <c r="M21" s="51"/>
      <c r="N21" s="14" t="str">
        <f t="shared" si="1"/>
        <v/>
      </c>
      <c r="O21" s="55"/>
      <c r="P21" s="31" t="str">
        <f t="shared" si="2"/>
        <v/>
      </c>
      <c r="Q21" s="32" t="str">
        <f t="shared" si="3"/>
        <v/>
      </c>
      <c r="R21" s="349" t="s">
        <v>187</v>
      </c>
      <c r="S21" s="14" t="s">
        <v>190</v>
      </c>
      <c r="T21" s="51"/>
      <c r="U21" s="14" t="str">
        <f t="shared" si="32"/>
        <v/>
      </c>
      <c r="V21" s="55"/>
      <c r="W21" s="31" t="str">
        <f t="shared" si="33"/>
        <v/>
      </c>
      <c r="X21" s="32" t="str">
        <f t="shared" si="6"/>
        <v/>
      </c>
      <c r="Y21" s="349" t="s">
        <v>187</v>
      </c>
      <c r="Z21" s="14" t="s">
        <v>190</v>
      </c>
      <c r="AA21" s="51"/>
      <c r="AB21" s="14" t="str">
        <f t="shared" si="34"/>
        <v/>
      </c>
      <c r="AC21" s="55"/>
      <c r="AD21" s="31" t="str">
        <f t="shared" si="35"/>
        <v/>
      </c>
      <c r="AE21" s="32" t="str">
        <f t="shared" si="9"/>
        <v/>
      </c>
      <c r="AF21" s="349" t="s">
        <v>187</v>
      </c>
      <c r="AG21" s="14" t="s">
        <v>190</v>
      </c>
      <c r="AH21" s="51"/>
      <c r="AI21" s="14" t="str">
        <f t="shared" si="36"/>
        <v/>
      </c>
      <c r="AJ21" s="55"/>
      <c r="AK21" s="31" t="str">
        <f t="shared" si="37"/>
        <v/>
      </c>
      <c r="AL21" s="32" t="str">
        <f t="shared" si="12"/>
        <v/>
      </c>
      <c r="AM21" s="349" t="s">
        <v>187</v>
      </c>
      <c r="AN21" s="14" t="s">
        <v>190</v>
      </c>
      <c r="AO21" s="51"/>
      <c r="AP21" s="14" t="str">
        <f t="shared" si="38"/>
        <v/>
      </c>
      <c r="AQ21" s="55"/>
      <c r="AR21" s="31" t="str">
        <f t="shared" si="39"/>
        <v/>
      </c>
      <c r="AS21" s="32" t="str">
        <f t="shared" si="15"/>
        <v/>
      </c>
    </row>
    <row r="22" spans="1:45" ht="16.5" customHeight="1" thickTop="1">
      <c r="A22" s="476"/>
      <c r="B22" s="2"/>
      <c r="C22" s="19"/>
      <c r="D22" s="3"/>
      <c r="E22" s="66"/>
      <c r="F22" s="66"/>
      <c r="G22" s="46"/>
      <c r="H22" s="49"/>
      <c r="I22" s="62"/>
      <c r="K22" s="349" t="s">
        <v>187</v>
      </c>
      <c r="L22" s="14" t="s">
        <v>191</v>
      </c>
      <c r="M22" s="51"/>
      <c r="N22" s="14"/>
      <c r="O22" s="55"/>
      <c r="P22" s="31" t="str">
        <f t="shared" ref="P22" si="40">IF($A$1=K22,VLOOKUP(M22,$B$2:$F$9,4,FALSE),"")</f>
        <v/>
      </c>
      <c r="Q22" s="32" t="str">
        <f t="shared" ref="Q22" si="41">IF($A$1=K22,VLOOKUP(M22,$B$2:$F$9,5,FALSE),"")</f>
        <v/>
      </c>
      <c r="R22" s="349" t="s">
        <v>187</v>
      </c>
      <c r="S22" s="14" t="s">
        <v>191</v>
      </c>
      <c r="T22" s="51"/>
      <c r="U22" s="14"/>
      <c r="V22" s="55"/>
      <c r="W22" s="31" t="str">
        <f t="shared" si="33"/>
        <v/>
      </c>
      <c r="X22" s="32" t="str">
        <f t="shared" si="6"/>
        <v/>
      </c>
      <c r="Y22" s="349" t="s">
        <v>187</v>
      </c>
      <c r="Z22" s="14" t="s">
        <v>191</v>
      </c>
      <c r="AA22" s="51"/>
      <c r="AB22" s="14"/>
      <c r="AC22" s="55"/>
      <c r="AD22" s="31" t="str">
        <f t="shared" si="35"/>
        <v/>
      </c>
      <c r="AE22" s="32" t="str">
        <f t="shared" si="9"/>
        <v/>
      </c>
      <c r="AF22" s="349" t="s">
        <v>187</v>
      </c>
      <c r="AG22" s="14" t="s">
        <v>191</v>
      </c>
      <c r="AH22" s="51"/>
      <c r="AI22" s="14"/>
      <c r="AJ22" s="55"/>
      <c r="AK22" s="31" t="str">
        <f t="shared" si="37"/>
        <v/>
      </c>
      <c r="AL22" s="32" t="str">
        <f t="shared" si="12"/>
        <v/>
      </c>
      <c r="AM22" s="349" t="s">
        <v>187</v>
      </c>
      <c r="AN22" s="14" t="s">
        <v>191</v>
      </c>
      <c r="AO22" s="51"/>
      <c r="AP22" s="14"/>
      <c r="AQ22" s="55"/>
      <c r="AR22" s="31" t="str">
        <f t="shared" si="39"/>
        <v/>
      </c>
      <c r="AS22" s="32" t="str">
        <f t="shared" si="15"/>
        <v/>
      </c>
    </row>
    <row r="23" spans="1:45" ht="16.5" customHeight="1">
      <c r="A23" s="475"/>
      <c r="B23" s="14"/>
      <c r="C23" s="14"/>
      <c r="D23" s="4"/>
      <c r="E23" s="67"/>
      <c r="F23" s="67"/>
      <c r="G23" s="45"/>
      <c r="H23" s="68"/>
      <c r="I23" s="63"/>
      <c r="K23" s="75" t="s">
        <v>187</v>
      </c>
      <c r="L23" s="14" t="s">
        <v>192</v>
      </c>
      <c r="M23" s="51"/>
      <c r="N23" s="14"/>
      <c r="O23" s="55"/>
      <c r="P23" s="31" t="str">
        <f t="shared" si="2"/>
        <v/>
      </c>
      <c r="Q23" s="32" t="str">
        <f t="shared" si="3"/>
        <v/>
      </c>
      <c r="R23" s="349" t="s">
        <v>187</v>
      </c>
      <c r="S23" s="14" t="s">
        <v>192</v>
      </c>
      <c r="T23" s="51"/>
      <c r="U23" s="14"/>
      <c r="V23" s="55"/>
      <c r="W23" s="31" t="str">
        <f t="shared" si="33"/>
        <v/>
      </c>
      <c r="X23" s="32" t="str">
        <f t="shared" si="6"/>
        <v/>
      </c>
      <c r="Y23" s="349" t="s">
        <v>187</v>
      </c>
      <c r="Z23" s="14" t="s">
        <v>192</v>
      </c>
      <c r="AA23" s="51"/>
      <c r="AB23" s="14"/>
      <c r="AC23" s="55"/>
      <c r="AD23" s="31" t="str">
        <f t="shared" si="35"/>
        <v/>
      </c>
      <c r="AE23" s="32" t="str">
        <f t="shared" si="9"/>
        <v/>
      </c>
      <c r="AF23" s="349" t="s">
        <v>187</v>
      </c>
      <c r="AG23" s="14" t="s">
        <v>192</v>
      </c>
      <c r="AH23" s="51"/>
      <c r="AI23" s="14"/>
      <c r="AJ23" s="55"/>
      <c r="AK23" s="31" t="str">
        <f t="shared" si="37"/>
        <v/>
      </c>
      <c r="AL23" s="32" t="str">
        <f t="shared" si="12"/>
        <v/>
      </c>
      <c r="AM23" s="349" t="s">
        <v>187</v>
      </c>
      <c r="AN23" s="14" t="s">
        <v>192</v>
      </c>
      <c r="AO23" s="51"/>
      <c r="AP23" s="14"/>
      <c r="AQ23" s="55"/>
      <c r="AR23" s="31" t="str">
        <f t="shared" si="39"/>
        <v/>
      </c>
      <c r="AS23" s="32" t="str">
        <f t="shared" si="15"/>
        <v/>
      </c>
    </row>
    <row r="24" spans="1:45" ht="16.5" customHeight="1" thickBot="1">
      <c r="A24" s="474"/>
      <c r="B24" s="14"/>
      <c r="C24" s="19"/>
      <c r="D24" s="3"/>
      <c r="E24" s="66"/>
      <c r="F24" s="67"/>
      <c r="G24" s="45"/>
      <c r="H24" s="49"/>
      <c r="I24" s="62"/>
      <c r="K24" s="76" t="s">
        <v>187</v>
      </c>
      <c r="L24" s="34" t="s">
        <v>180</v>
      </c>
      <c r="M24" s="52"/>
      <c r="N24" s="34" t="str">
        <f t="shared" si="1"/>
        <v/>
      </c>
      <c r="O24" s="56"/>
      <c r="P24" s="35" t="str">
        <f t="shared" si="2"/>
        <v/>
      </c>
      <c r="Q24" s="36" t="str">
        <f t="shared" si="3"/>
        <v/>
      </c>
      <c r="R24" s="76" t="s">
        <v>187</v>
      </c>
      <c r="S24" s="34" t="s">
        <v>180</v>
      </c>
      <c r="T24" s="52"/>
      <c r="U24" s="34" t="str">
        <f t="shared" ref="U24" si="42">IF($A$1=R24,T24*2,"")</f>
        <v/>
      </c>
      <c r="V24" s="56"/>
      <c r="W24" s="35" t="str">
        <f t="shared" si="33"/>
        <v/>
      </c>
      <c r="X24" s="36" t="str">
        <f t="shared" si="6"/>
        <v/>
      </c>
      <c r="Y24" s="76" t="s">
        <v>187</v>
      </c>
      <c r="Z24" s="34" t="s">
        <v>180</v>
      </c>
      <c r="AA24" s="52"/>
      <c r="AB24" s="34" t="str">
        <f t="shared" ref="AB24" si="43">IF($A$1=Y24,AA24*2,"")</f>
        <v/>
      </c>
      <c r="AC24" s="56"/>
      <c r="AD24" s="35" t="str">
        <f t="shared" si="35"/>
        <v/>
      </c>
      <c r="AE24" s="36" t="str">
        <f t="shared" si="9"/>
        <v/>
      </c>
      <c r="AF24" s="76" t="s">
        <v>187</v>
      </c>
      <c r="AG24" s="34" t="s">
        <v>180</v>
      </c>
      <c r="AH24" s="52"/>
      <c r="AI24" s="34" t="str">
        <f t="shared" ref="AI24" si="44">IF($A$1=AF24,AH24*2,"")</f>
        <v/>
      </c>
      <c r="AJ24" s="56"/>
      <c r="AK24" s="35" t="str">
        <f t="shared" si="37"/>
        <v/>
      </c>
      <c r="AL24" s="36" t="str">
        <f t="shared" si="12"/>
        <v/>
      </c>
      <c r="AM24" s="76" t="s">
        <v>187</v>
      </c>
      <c r="AN24" s="34" t="s">
        <v>180</v>
      </c>
      <c r="AO24" s="52"/>
      <c r="AP24" s="34" t="str">
        <f t="shared" ref="AP24" si="45">IF($A$1=AM24,AO24*2,"")</f>
        <v/>
      </c>
      <c r="AQ24" s="56"/>
      <c r="AR24" s="35" t="str">
        <f t="shared" si="39"/>
        <v/>
      </c>
      <c r="AS24" s="36" t="str">
        <f t="shared" si="15"/>
        <v/>
      </c>
    </row>
    <row r="25" spans="1:45" ht="16.5" customHeight="1">
      <c r="A25" s="475"/>
      <c r="B25" s="14"/>
      <c r="C25" s="14"/>
      <c r="D25" s="4"/>
      <c r="E25" s="67"/>
      <c r="F25" s="67"/>
      <c r="G25" s="45"/>
      <c r="H25" s="68"/>
      <c r="I25" s="63"/>
    </row>
    <row r="26" spans="1:45" ht="16.5" customHeight="1">
      <c r="A26" s="474"/>
      <c r="B26" s="14"/>
      <c r="C26" s="19"/>
      <c r="D26" s="3"/>
      <c r="E26" s="66"/>
      <c r="F26" s="67"/>
      <c r="G26" s="45"/>
      <c r="H26" s="49"/>
      <c r="I26" s="62"/>
    </row>
    <row r="27" spans="1:45" ht="16.5" customHeight="1">
      <c r="A27" s="475"/>
      <c r="B27" s="14"/>
      <c r="C27" s="14"/>
      <c r="D27" s="4"/>
      <c r="E27" s="67"/>
      <c r="F27" s="67"/>
      <c r="G27" s="45"/>
      <c r="H27" s="68"/>
      <c r="I27" s="63"/>
    </row>
    <row r="28" spans="1:45" ht="16.5" customHeight="1">
      <c r="A28" s="474"/>
      <c r="B28" s="14"/>
      <c r="C28" s="19"/>
      <c r="D28" s="3"/>
      <c r="E28" s="66"/>
      <c r="F28" s="67"/>
      <c r="G28" s="45"/>
      <c r="H28" s="49"/>
      <c r="I28" s="62"/>
    </row>
    <row r="29" spans="1:45" ht="16.5" customHeight="1">
      <c r="A29" s="475"/>
      <c r="B29" s="14"/>
      <c r="C29" s="14"/>
      <c r="D29" s="4"/>
      <c r="E29" s="67"/>
      <c r="F29" s="67"/>
      <c r="G29" s="45"/>
      <c r="H29" s="68"/>
      <c r="I29" s="63"/>
    </row>
    <row r="30" spans="1:45" ht="16.5" customHeight="1">
      <c r="A30" s="474"/>
      <c r="B30" s="14"/>
      <c r="C30" s="29"/>
      <c r="D30" s="4"/>
      <c r="E30" s="67"/>
      <c r="F30" s="67"/>
      <c r="G30" s="45"/>
      <c r="H30" s="68"/>
      <c r="I30" s="63"/>
    </row>
    <row r="31" spans="1:45" ht="16.5" customHeight="1" thickBot="1">
      <c r="A31" s="475"/>
      <c r="B31" s="14"/>
      <c r="C31" s="14"/>
      <c r="D31" s="4"/>
      <c r="E31" s="67"/>
      <c r="F31" s="67"/>
      <c r="G31" s="45"/>
      <c r="H31" s="86"/>
      <c r="I31" s="63"/>
    </row>
    <row r="32" spans="1:45" ht="16.5" customHeight="1" thickTop="1" thickBot="1">
      <c r="A32" s="203" t="str">
        <f>入札額積算資料・見積書!A26</f>
        <v>【総価契約部分】人件費及び物件費の計・処遇改善の計</v>
      </c>
      <c r="B32" s="204"/>
      <c r="C32" s="204"/>
      <c r="D32" s="204"/>
      <c r="E32" s="204"/>
      <c r="F32" s="205"/>
      <c r="G32" s="89"/>
      <c r="H32" s="317"/>
      <c r="I32" s="211"/>
    </row>
    <row r="33" spans="1:9" ht="16.5" customHeight="1" thickTop="1">
      <c r="A33" s="203" t="e">
        <f>入札額積算資料・見積書!#REF!</f>
        <v>#REF!</v>
      </c>
      <c r="B33" s="204"/>
      <c r="C33" s="204"/>
      <c r="D33" s="204"/>
      <c r="E33" s="204"/>
      <c r="F33" s="205"/>
      <c r="G33" s="45"/>
      <c r="H33" s="212"/>
      <c r="I33" s="64"/>
    </row>
    <row r="34" spans="1:9" ht="16.5" customHeight="1">
      <c r="A34" s="203" t="str">
        <f>入札額積算資料・見積書!A27</f>
        <v>【総価契約部分】令和8年度　合計</v>
      </c>
      <c r="B34" s="204"/>
      <c r="C34" s="204"/>
      <c r="D34" s="204"/>
      <c r="E34" s="204"/>
      <c r="F34" s="205"/>
      <c r="G34" s="47"/>
      <c r="H34" s="48"/>
      <c r="I34" s="64"/>
    </row>
    <row r="35" spans="1:9" ht="16.5" customHeight="1" thickBot="1">
      <c r="A35" s="206" t="e">
        <f>入札額積算資料・見積書!#REF!</f>
        <v>#REF!</v>
      </c>
      <c r="B35" s="207"/>
      <c r="C35" s="207"/>
      <c r="D35" s="207"/>
      <c r="E35" s="207"/>
      <c r="F35" s="208"/>
      <c r="G35" s="91"/>
      <c r="H35" s="92"/>
      <c r="I35" s="64"/>
    </row>
    <row r="36" spans="1:9" ht="16.5" customHeight="1">
      <c r="A36" s="257" t="str">
        <f>入札額積算資料・見積書!A28</f>
        <v>障害等により配慮を要する児童の受入等のために追加配置する指導員</v>
      </c>
      <c r="B36" s="258"/>
      <c r="C36" s="258"/>
      <c r="D36" s="258"/>
      <c r="E36" s="258"/>
      <c r="F36" s="258"/>
      <c r="G36" s="259"/>
      <c r="H36" s="260"/>
      <c r="I36" s="261"/>
    </row>
    <row r="37" spans="1:9" ht="16.5" customHeight="1" thickBot="1">
      <c r="A37" s="282">
        <f>入札額積算資料・見積書!A29</f>
        <v>0</v>
      </c>
      <c r="B37" s="283" t="e">
        <f>入札額積算資料・見積書!#REF!</f>
        <v>#REF!</v>
      </c>
      <c r="C37" s="283" t="str">
        <f>入札額積算資料・見積書!B29</f>
        <v>税抜日額</v>
      </c>
      <c r="D37" s="283">
        <f>入札額積算資料・見積書!C29</f>
        <v>0</v>
      </c>
      <c r="E37" s="93" t="str">
        <f>入札額積算資料・見積書!D29</f>
        <v>人数</v>
      </c>
      <c r="F37" s="296" t="str">
        <f>入札額積算資料・見積書!E29</f>
        <v>日数</v>
      </c>
      <c r="G37" s="286"/>
      <c r="H37" s="286"/>
      <c r="I37" s="294"/>
    </row>
    <row r="38" spans="1:9" ht="16.5" customHeight="1" thickTop="1" thickBot="1">
      <c r="A38" s="217"/>
      <c r="B38" s="276" t="s">
        <v>118</v>
      </c>
      <c r="C38" s="269"/>
      <c r="D38" s="195"/>
      <c r="E38" s="213"/>
      <c r="F38" s="309"/>
      <c r="G38" s="313"/>
      <c r="H38" s="310"/>
      <c r="I38" s="317"/>
    </row>
    <row r="39" spans="1:9" ht="16.5" customHeight="1" thickTop="1" thickBot="1">
      <c r="A39" s="217"/>
      <c r="B39" s="278" t="s">
        <v>118</v>
      </c>
      <c r="C39" s="194"/>
      <c r="D39" s="196"/>
      <c r="E39" s="214"/>
      <c r="F39" s="272"/>
      <c r="G39" s="291"/>
      <c r="H39" s="311"/>
      <c r="I39" s="317"/>
    </row>
    <row r="40" spans="1:9" ht="16.5" customHeight="1" thickTop="1">
      <c r="A40" s="257" t="str">
        <f>入札額積算資料・見積書!A32</f>
        <v>医療的ケア看護職員</v>
      </c>
      <c r="B40" s="258"/>
      <c r="C40" s="258"/>
      <c r="D40" s="258"/>
      <c r="E40" s="258"/>
      <c r="F40" s="259"/>
      <c r="G40" s="292"/>
      <c r="H40" s="292"/>
      <c r="I40" s="293"/>
    </row>
    <row r="41" spans="1:9" ht="16.5" customHeight="1" thickBot="1">
      <c r="A41" s="282">
        <f>入札額積算資料・見積書!A33</f>
        <v>0</v>
      </c>
      <c r="B41" s="283" t="e">
        <f>入札額積算資料・見積書!#REF!</f>
        <v>#REF!</v>
      </c>
      <c r="C41" s="283" t="str">
        <f>入札額積算資料・見積書!B33</f>
        <v>税抜日額</v>
      </c>
      <c r="D41" s="283">
        <f>入札額積算資料・見積書!C33</f>
        <v>0</v>
      </c>
      <c r="E41" s="93" t="str">
        <f>入札額積算資料・見積書!D33</f>
        <v>人数</v>
      </c>
      <c r="F41" s="296" t="str">
        <f>入札額積算資料・見積書!E33</f>
        <v>日数</v>
      </c>
      <c r="G41" s="286"/>
      <c r="H41" s="286"/>
      <c r="I41" s="294"/>
    </row>
    <row r="42" spans="1:9" ht="16.5" customHeight="1" thickTop="1" thickBot="1">
      <c r="A42" s="217"/>
      <c r="B42" s="276" t="s">
        <v>118</v>
      </c>
      <c r="C42" s="269"/>
      <c r="D42" s="195"/>
      <c r="E42" s="195"/>
      <c r="F42" s="312"/>
      <c r="G42" s="314"/>
      <c r="H42" s="310"/>
      <c r="I42" s="317"/>
    </row>
    <row r="43" spans="1:9" ht="16.5" customHeight="1" thickTop="1" thickBot="1">
      <c r="A43" s="217"/>
      <c r="B43" s="277" t="s">
        <v>118</v>
      </c>
      <c r="C43" s="194"/>
      <c r="D43" s="196"/>
      <c r="E43" s="196"/>
      <c r="F43" s="216"/>
      <c r="G43" s="315"/>
      <c r="H43" s="311"/>
      <c r="I43" s="317"/>
    </row>
    <row r="44" spans="1:9" ht="16.5" customHeight="1" thickTop="1" thickBot="1">
      <c r="A44" s="304" t="str">
        <f>入札額積算資料・見積書!A36</f>
        <v>【単価契約部分】令和8年度　総合計</v>
      </c>
      <c r="B44" s="305"/>
      <c r="C44" s="305"/>
      <c r="D44" s="305"/>
      <c r="E44" s="305"/>
      <c r="F44" s="305"/>
      <c r="G44" s="305"/>
      <c r="H44" s="306"/>
      <c r="I44" s="307" t="str">
        <f>IFERROR(SUM(#REF!,#REF!,#REF!,#REF!),"")</f>
        <v/>
      </c>
    </row>
    <row r="45" spans="1:9" ht="16.5" customHeight="1" thickBot="1">
      <c r="A45" s="304" t="str">
        <f>入札額積算資料・見積書!A37</f>
        <v>【総価契約部分及び単価契約部分】令和8年度　総合計・・・（A）</v>
      </c>
      <c r="B45" s="305"/>
      <c r="C45" s="305"/>
      <c r="D45" s="305"/>
      <c r="E45" s="305"/>
      <c r="F45" s="305"/>
      <c r="G45" s="305"/>
      <c r="H45" s="422"/>
      <c r="I45" s="423"/>
    </row>
    <row r="46" spans="1:9" ht="16.5" customHeight="1">
      <c r="E46" s="11"/>
      <c r="F46" s="11"/>
    </row>
    <row r="47" spans="1:9" ht="16.5" customHeight="1" thickBot="1">
      <c r="A47" s="1" t="str">
        <f>入札額積算資料・見積書!A39</f>
        <v>令和9年度のびのびルーム</v>
      </c>
      <c r="B47" s="10"/>
      <c r="C47" s="6"/>
      <c r="D47" s="6"/>
      <c r="E47" s="6"/>
      <c r="F47" s="6"/>
      <c r="G47" s="6"/>
      <c r="H47" s="6"/>
      <c r="I47" s="6"/>
    </row>
    <row r="48" spans="1:9" ht="16.5" customHeight="1">
      <c r="A48" s="440" t="str">
        <f>入札額積算資料・見積書!A40</f>
        <v>学校名</v>
      </c>
      <c r="B48" s="428" t="e">
        <f>入札額積算資料・見積書!#REF!</f>
        <v>#REF!</v>
      </c>
      <c r="C48" s="430" t="str">
        <f>入札額積算資料・見積書!B40</f>
        <v>組織数</v>
      </c>
      <c r="D48" s="430" t="str">
        <f>入札額積算資料・見積書!C40</f>
        <v>配置
基準</v>
      </c>
      <c r="E48" s="428" t="str">
        <f>入札額積算資料・見積書!D40</f>
        <v>人件費
（税抜）</v>
      </c>
      <c r="F48" s="428" t="str">
        <f>入札額積算資料・見積書!E40</f>
        <v>物件費
（税抜）</v>
      </c>
      <c r="G48" s="430" t="str">
        <f>入札額積算資料・見積書!F40</f>
        <v>人件費と物件費
の計（税抜）</v>
      </c>
      <c r="H48" s="436" t="str">
        <f>入札額積算資料・見積書!G40</f>
        <v>処遇改善</v>
      </c>
      <c r="I48" s="438" t="str">
        <f>入札額積算資料・見積書!H40</f>
        <v>追加配置
指導員数</v>
      </c>
    </row>
    <row r="49" spans="1:9" ht="16.5" customHeight="1" thickBot="1">
      <c r="A49" s="441">
        <f>入札額積算資料・見積書!A41</f>
        <v>0</v>
      </c>
      <c r="B49" s="429" t="e">
        <f>入札額積算資料・見積書!#REF!</f>
        <v>#REF!</v>
      </c>
      <c r="C49" s="431">
        <f>入札額積算資料・見積書!B41</f>
        <v>0</v>
      </c>
      <c r="D49" s="431">
        <f>入札額積算資料・見積書!C41</f>
        <v>0</v>
      </c>
      <c r="E49" s="429">
        <f>入札額積算資料・見積書!D41</f>
        <v>0</v>
      </c>
      <c r="F49" s="429">
        <f>入札額積算資料・見積書!E41</f>
        <v>0</v>
      </c>
      <c r="G49" s="431">
        <f>入札額積算資料・見積書!F41</f>
        <v>0</v>
      </c>
      <c r="H49" s="437">
        <f>入札額積算資料・見積書!G41</f>
        <v>0</v>
      </c>
      <c r="I49" s="439">
        <f>入札額積算資料・見積書!H41</f>
        <v>0</v>
      </c>
    </row>
    <row r="50" spans="1:9" ht="16.5" customHeight="1" thickTop="1">
      <c r="A50" s="476"/>
      <c r="B50" s="2"/>
      <c r="C50" s="19"/>
      <c r="D50" s="3"/>
      <c r="E50" s="66"/>
      <c r="F50" s="66"/>
      <c r="G50" s="46"/>
      <c r="H50" s="49"/>
      <c r="I50" s="62"/>
    </row>
    <row r="51" spans="1:9" ht="16.5" customHeight="1">
      <c r="A51" s="475"/>
      <c r="B51" s="14"/>
      <c r="C51" s="14"/>
      <c r="D51" s="4"/>
      <c r="E51" s="67"/>
      <c r="F51" s="67"/>
      <c r="G51" s="45"/>
      <c r="H51" s="68"/>
      <c r="I51" s="63"/>
    </row>
    <row r="52" spans="1:9" ht="16.5" customHeight="1">
      <c r="A52" s="474"/>
      <c r="B52" s="14"/>
      <c r="C52" s="19"/>
      <c r="D52" s="3"/>
      <c r="E52" s="66"/>
      <c r="F52" s="67"/>
      <c r="G52" s="45"/>
      <c r="H52" s="49"/>
      <c r="I52" s="62"/>
    </row>
    <row r="53" spans="1:9" ht="16.5" customHeight="1">
      <c r="A53" s="475"/>
      <c r="B53" s="14"/>
      <c r="C53" s="14"/>
      <c r="D53" s="4"/>
      <c r="E53" s="67"/>
      <c r="F53" s="67"/>
      <c r="G53" s="45"/>
      <c r="H53" s="68"/>
      <c r="I53" s="63"/>
    </row>
    <row r="54" spans="1:9" ht="16.5" customHeight="1">
      <c r="A54" s="474"/>
      <c r="B54" s="14"/>
      <c r="C54" s="19"/>
      <c r="D54" s="3"/>
      <c r="E54" s="66"/>
      <c r="F54" s="67"/>
      <c r="G54" s="45"/>
      <c r="H54" s="49"/>
      <c r="I54" s="62"/>
    </row>
    <row r="55" spans="1:9" ht="16.5" customHeight="1">
      <c r="A55" s="475"/>
      <c r="B55" s="14"/>
      <c r="C55" s="14"/>
      <c r="D55" s="4"/>
      <c r="E55" s="67"/>
      <c r="F55" s="67"/>
      <c r="G55" s="45"/>
      <c r="H55" s="68"/>
      <c r="I55" s="63"/>
    </row>
    <row r="56" spans="1:9" ht="16.5" customHeight="1">
      <c r="A56" s="474"/>
      <c r="B56" s="14"/>
      <c r="C56" s="19"/>
      <c r="D56" s="3"/>
      <c r="E56" s="66"/>
      <c r="F56" s="67"/>
      <c r="G56" s="45"/>
      <c r="H56" s="49"/>
      <c r="I56" s="62"/>
    </row>
    <row r="57" spans="1:9" ht="16.5" customHeight="1">
      <c r="A57" s="475"/>
      <c r="B57" s="14"/>
      <c r="C57" s="14"/>
      <c r="D57" s="4"/>
      <c r="E57" s="67"/>
      <c r="F57" s="67"/>
      <c r="G57" s="45"/>
      <c r="H57" s="68"/>
      <c r="I57" s="63"/>
    </row>
    <row r="58" spans="1:9" ht="16.5" customHeight="1">
      <c r="A58" s="474"/>
      <c r="B58" s="14"/>
      <c r="C58" s="29"/>
      <c r="D58" s="4"/>
      <c r="E58" s="67"/>
      <c r="F58" s="67"/>
      <c r="G58" s="45"/>
      <c r="H58" s="68"/>
      <c r="I58" s="63"/>
    </row>
    <row r="59" spans="1:9" ht="16.5" customHeight="1" thickBot="1">
      <c r="A59" s="475"/>
      <c r="B59" s="14"/>
      <c r="C59" s="14"/>
      <c r="D59" s="4"/>
      <c r="E59" s="67"/>
      <c r="F59" s="67"/>
      <c r="G59" s="45"/>
      <c r="H59" s="86"/>
      <c r="I59" s="63"/>
    </row>
    <row r="60" spans="1:9" ht="16.5" customHeight="1" thickTop="1" thickBot="1">
      <c r="A60" s="203" t="str">
        <f>入札額積算資料・見積書!A48</f>
        <v>【総価契約部分】人件費及び物件費の計・処遇改善の計</v>
      </c>
      <c r="B60" s="204"/>
      <c r="C60" s="204"/>
      <c r="D60" s="204"/>
      <c r="E60" s="204"/>
      <c r="F60" s="205"/>
      <c r="G60" s="89"/>
      <c r="H60" s="317"/>
      <c r="I60" s="211"/>
    </row>
    <row r="61" spans="1:9" ht="16.5" customHeight="1" thickTop="1">
      <c r="A61" s="203" t="e">
        <f>入札額積算資料・見積書!#REF!</f>
        <v>#REF!</v>
      </c>
      <c r="B61" s="204"/>
      <c r="C61" s="204"/>
      <c r="D61" s="204"/>
      <c r="E61" s="204"/>
      <c r="F61" s="205"/>
      <c r="G61" s="45"/>
      <c r="H61" s="212"/>
      <c r="I61" s="64"/>
    </row>
    <row r="62" spans="1:9" ht="16.5" customHeight="1">
      <c r="A62" s="203" t="str">
        <f>入札額積算資料・見積書!A49</f>
        <v>【総価契約部分】令和9年度　合計</v>
      </c>
      <c r="B62" s="204"/>
      <c r="C62" s="204"/>
      <c r="D62" s="204"/>
      <c r="E62" s="204"/>
      <c r="F62" s="205"/>
      <c r="G62" s="47"/>
      <c r="H62" s="48"/>
      <c r="I62" s="64"/>
    </row>
    <row r="63" spans="1:9" ht="16.5" customHeight="1" thickBot="1">
      <c r="A63" s="206" t="e">
        <f>入札額積算資料・見積書!#REF!</f>
        <v>#REF!</v>
      </c>
      <c r="B63" s="207"/>
      <c r="C63" s="207"/>
      <c r="D63" s="207"/>
      <c r="E63" s="207"/>
      <c r="F63" s="208"/>
      <c r="G63" s="91"/>
      <c r="H63" s="92"/>
      <c r="I63" s="64"/>
    </row>
    <row r="64" spans="1:9" ht="16.5" customHeight="1">
      <c r="A64" s="257" t="str">
        <f>入札額積算資料・見積書!A50</f>
        <v>障害等により配慮を要する児童の受入等のために追加配置する指導員</v>
      </c>
      <c r="B64" s="258"/>
      <c r="C64" s="258"/>
      <c r="D64" s="258"/>
      <c r="E64" s="258"/>
      <c r="F64" s="259"/>
      <c r="G64" s="292"/>
      <c r="H64" s="292"/>
      <c r="I64" s="293"/>
    </row>
    <row r="65" spans="1:9" ht="16.5" customHeight="1" thickBot="1">
      <c r="A65" s="299">
        <f>入札額積算資料・見積書!A51</f>
        <v>0</v>
      </c>
      <c r="B65" s="284" t="e">
        <f>入札額積算資料・見積書!#REF!</f>
        <v>#REF!</v>
      </c>
      <c r="C65" s="284" t="str">
        <f>入札額積算資料・見積書!B51</f>
        <v>税抜日額</v>
      </c>
      <c r="D65" s="284">
        <f>入札額積算資料・見積書!C51</f>
        <v>0</v>
      </c>
      <c r="E65" s="93" t="str">
        <f>入札額積算資料・見積書!D51</f>
        <v>人数</v>
      </c>
      <c r="F65" s="296" t="str">
        <f>入札額積算資料・見積書!E51</f>
        <v>日数</v>
      </c>
      <c r="G65" s="286"/>
      <c r="H65" s="286"/>
      <c r="I65" s="294"/>
    </row>
    <row r="66" spans="1:9" ht="16.5" customHeight="1" thickTop="1" thickBot="1">
      <c r="A66" s="270">
        <f>A38</f>
        <v>0</v>
      </c>
      <c r="B66" s="279" t="s">
        <v>118</v>
      </c>
      <c r="C66" s="209"/>
      <c r="D66" s="195"/>
      <c r="E66" s="213"/>
      <c r="F66" s="312"/>
      <c r="G66" s="273"/>
      <c r="H66" s="310"/>
      <c r="I66" s="317"/>
    </row>
    <row r="67" spans="1:9" ht="16.5" customHeight="1" thickTop="1" thickBot="1">
      <c r="A67" s="271">
        <f>A39</f>
        <v>0</v>
      </c>
      <c r="B67" s="280" t="s">
        <v>118</v>
      </c>
      <c r="C67" s="210"/>
      <c r="D67" s="196"/>
      <c r="E67" s="214"/>
      <c r="F67" s="216"/>
      <c r="G67" s="274"/>
      <c r="H67" s="311"/>
      <c r="I67" s="317"/>
    </row>
    <row r="68" spans="1:9" ht="16.5" customHeight="1">
      <c r="A68" s="257" t="str">
        <f>入札額積算資料・見積書!A54</f>
        <v>医療的ケア看護職員</v>
      </c>
      <c r="B68" s="258"/>
      <c r="C68" s="258"/>
      <c r="D68" s="258"/>
      <c r="E68" s="258"/>
      <c r="F68" s="259"/>
      <c r="G68" s="292"/>
      <c r="H68" s="292"/>
      <c r="I68" s="293"/>
    </row>
    <row r="69" spans="1:9" ht="16.5" customHeight="1" thickBot="1">
      <c r="A69" s="299">
        <f>入札額積算資料・見積書!A55</f>
        <v>0</v>
      </c>
      <c r="B69" s="284" t="e">
        <f>入札額積算資料・見積書!#REF!</f>
        <v>#REF!</v>
      </c>
      <c r="C69" s="284" t="str">
        <f>入札額積算資料・見積書!B55</f>
        <v>税抜日額</v>
      </c>
      <c r="D69" s="284">
        <f>入札額積算資料・見積書!C55</f>
        <v>0</v>
      </c>
      <c r="E69" s="93" t="str">
        <f>入札額積算資料・見積書!D55</f>
        <v>人数</v>
      </c>
      <c r="F69" s="296" t="str">
        <f>入札額積算資料・見積書!E55</f>
        <v>日数</v>
      </c>
      <c r="G69" s="286"/>
      <c r="H69" s="286"/>
      <c r="I69" s="294"/>
    </row>
    <row r="70" spans="1:9" ht="16.5" customHeight="1" thickTop="1" thickBot="1">
      <c r="A70" s="66">
        <f>A42</f>
        <v>0</v>
      </c>
      <c r="B70" s="279" t="s">
        <v>118</v>
      </c>
      <c r="C70" s="209"/>
      <c r="D70" s="195"/>
      <c r="E70" s="213"/>
      <c r="F70" s="312"/>
      <c r="G70" s="273"/>
      <c r="H70" s="310"/>
      <c r="I70" s="317"/>
    </row>
    <row r="71" spans="1:9" ht="16.5" customHeight="1" thickTop="1" thickBot="1">
      <c r="A71" s="234">
        <f>A43</f>
        <v>0</v>
      </c>
      <c r="B71" s="280" t="s">
        <v>118</v>
      </c>
      <c r="C71" s="210"/>
      <c r="D71" s="196"/>
      <c r="E71" s="214"/>
      <c r="F71" s="216"/>
      <c r="G71" s="274"/>
      <c r="H71" s="311"/>
      <c r="I71" s="317"/>
    </row>
    <row r="72" spans="1:9" ht="16.5" customHeight="1" thickBot="1">
      <c r="A72" s="304" t="str">
        <f>入札額積算資料・見積書!A58</f>
        <v>【単価契約部分】令和9年度　総合計</v>
      </c>
      <c r="B72" s="305"/>
      <c r="C72" s="305"/>
      <c r="D72" s="305"/>
      <c r="E72" s="305"/>
      <c r="F72" s="305"/>
      <c r="G72" s="305"/>
      <c r="H72" s="306"/>
      <c r="I72" s="307" t="str">
        <f>IFERROR(SUM(#REF!,#REF!,#REF!,#REF!),"")</f>
        <v/>
      </c>
    </row>
    <row r="73" spans="1:9" ht="16.5" customHeight="1" thickBot="1">
      <c r="A73" s="304" t="str">
        <f>入札額積算資料・見積書!A59</f>
        <v>【総価契約部分及び単価契約部分】令和9年度　総合計・・・（B）</v>
      </c>
      <c r="B73" s="305"/>
      <c r="C73" s="305"/>
      <c r="D73" s="305"/>
      <c r="E73" s="305"/>
      <c r="F73" s="305"/>
      <c r="G73" s="305"/>
      <c r="H73" s="422"/>
      <c r="I73" s="423"/>
    </row>
    <row r="75" spans="1:9" ht="16.5" customHeight="1" thickBot="1">
      <c r="A75" s="1" t="str">
        <f>入札額積算資料・見積書!A61</f>
        <v>令和10年度のびのびルーム</v>
      </c>
      <c r="B75" s="10"/>
      <c r="C75" s="6"/>
      <c r="D75" s="6"/>
      <c r="E75" s="6"/>
      <c r="F75" s="6"/>
      <c r="G75" s="6"/>
      <c r="H75" s="6"/>
      <c r="I75" s="6"/>
    </row>
    <row r="76" spans="1:9" ht="16.5" customHeight="1">
      <c r="A76" s="440" t="e">
        <f>入札額積算資料・見積書!#REF!</f>
        <v>#REF!</v>
      </c>
      <c r="B76" s="428" t="e">
        <f>入札額積算資料・見積書!#REF!</f>
        <v>#REF!</v>
      </c>
      <c r="C76" s="430" t="e">
        <f>入札額積算資料・見積書!#REF!</f>
        <v>#REF!</v>
      </c>
      <c r="D76" s="430" t="e">
        <f>入札額積算資料・見積書!#REF!</f>
        <v>#REF!</v>
      </c>
      <c r="E76" s="428" t="e">
        <f>入札額積算資料・見積書!#REF!</f>
        <v>#REF!</v>
      </c>
      <c r="F76" s="428" t="e">
        <f>入札額積算資料・見積書!#REF!</f>
        <v>#REF!</v>
      </c>
      <c r="G76" s="430" t="e">
        <f>入札額積算資料・見積書!#REF!</f>
        <v>#REF!</v>
      </c>
      <c r="H76" s="436" t="e">
        <f>入札額積算資料・見積書!#REF!</f>
        <v>#REF!</v>
      </c>
      <c r="I76" s="438" t="e">
        <f>入札額積算資料・見積書!#REF!</f>
        <v>#REF!</v>
      </c>
    </row>
    <row r="77" spans="1:9" ht="16.5" customHeight="1" thickBot="1">
      <c r="A77" s="441" t="e">
        <f>入札額積算資料・見積書!#REF!</f>
        <v>#REF!</v>
      </c>
      <c r="B77" s="429" t="e">
        <f>入札額積算資料・見積書!#REF!</f>
        <v>#REF!</v>
      </c>
      <c r="C77" s="431" t="e">
        <f>入札額積算資料・見積書!#REF!</f>
        <v>#REF!</v>
      </c>
      <c r="D77" s="431" t="e">
        <f>入札額積算資料・見積書!#REF!</f>
        <v>#REF!</v>
      </c>
      <c r="E77" s="429" t="e">
        <f>入札額積算資料・見積書!#REF!</f>
        <v>#REF!</v>
      </c>
      <c r="F77" s="429" t="e">
        <f>入札額積算資料・見積書!#REF!</f>
        <v>#REF!</v>
      </c>
      <c r="G77" s="431" t="e">
        <f>入札額積算資料・見積書!#REF!</f>
        <v>#REF!</v>
      </c>
      <c r="H77" s="437" t="e">
        <f>入札額積算資料・見積書!#REF!</f>
        <v>#REF!</v>
      </c>
      <c r="I77" s="439" t="e">
        <f>入札額積算資料・見積書!#REF!</f>
        <v>#REF!</v>
      </c>
    </row>
    <row r="78" spans="1:9" ht="16.5" customHeight="1" thickTop="1">
      <c r="A78" s="476"/>
      <c r="B78" s="2"/>
      <c r="C78" s="19"/>
      <c r="D78" s="3"/>
      <c r="E78" s="66"/>
      <c r="F78" s="66"/>
      <c r="G78" s="46"/>
      <c r="H78" s="49"/>
      <c r="I78" s="62"/>
    </row>
    <row r="79" spans="1:9" ht="16.5" customHeight="1">
      <c r="A79" s="475"/>
      <c r="B79" s="14"/>
      <c r="C79" s="14"/>
      <c r="D79" s="4"/>
      <c r="E79" s="67"/>
      <c r="F79" s="67"/>
      <c r="G79" s="45"/>
      <c r="H79" s="68"/>
      <c r="I79" s="63"/>
    </row>
    <row r="80" spans="1:9" ht="16.5" customHeight="1">
      <c r="A80" s="474"/>
      <c r="B80" s="14"/>
      <c r="C80" s="19"/>
      <c r="D80" s="3"/>
      <c r="E80" s="66"/>
      <c r="F80" s="67"/>
      <c r="G80" s="45"/>
      <c r="H80" s="49"/>
      <c r="I80" s="62"/>
    </row>
    <row r="81" spans="1:9" ht="16.5" customHeight="1">
      <c r="A81" s="475"/>
      <c r="B81" s="14"/>
      <c r="C81" s="14"/>
      <c r="D81" s="4"/>
      <c r="E81" s="67"/>
      <c r="F81" s="67"/>
      <c r="G81" s="45"/>
      <c r="H81" s="68"/>
      <c r="I81" s="63"/>
    </row>
    <row r="82" spans="1:9" ht="16.5" customHeight="1">
      <c r="A82" s="474"/>
      <c r="B82" s="14"/>
      <c r="C82" s="19"/>
      <c r="D82" s="3"/>
      <c r="E82" s="66"/>
      <c r="F82" s="67"/>
      <c r="G82" s="45"/>
      <c r="H82" s="49"/>
      <c r="I82" s="62"/>
    </row>
    <row r="83" spans="1:9" ht="16.5" customHeight="1">
      <c r="A83" s="475"/>
      <c r="B83" s="14"/>
      <c r="C83" s="14"/>
      <c r="D83" s="4"/>
      <c r="E83" s="67"/>
      <c r="F83" s="67"/>
      <c r="G83" s="45"/>
      <c r="H83" s="68"/>
      <c r="I83" s="63"/>
    </row>
    <row r="84" spans="1:9" ht="16.5" customHeight="1">
      <c r="A84" s="474"/>
      <c r="B84" s="14"/>
      <c r="C84" s="19"/>
      <c r="D84" s="3"/>
      <c r="E84" s="66"/>
      <c r="F84" s="67"/>
      <c r="G84" s="45"/>
      <c r="H84" s="49"/>
      <c r="I84" s="62"/>
    </row>
    <row r="85" spans="1:9" ht="16.5" customHeight="1">
      <c r="A85" s="475"/>
      <c r="B85" s="14"/>
      <c r="C85" s="14"/>
      <c r="D85" s="4"/>
      <c r="E85" s="67"/>
      <c r="F85" s="67"/>
      <c r="G85" s="45"/>
      <c r="H85" s="68"/>
      <c r="I85" s="63"/>
    </row>
    <row r="86" spans="1:9" ht="16.5" customHeight="1">
      <c r="A86" s="474"/>
      <c r="B86" s="14"/>
      <c r="C86" s="29"/>
      <c r="D86" s="4"/>
      <c r="E86" s="67"/>
      <c r="F86" s="67"/>
      <c r="G86" s="45"/>
      <c r="H86" s="68"/>
      <c r="I86" s="63"/>
    </row>
    <row r="87" spans="1:9" ht="16.5" customHeight="1" thickBot="1">
      <c r="A87" s="475"/>
      <c r="B87" s="14"/>
      <c r="C87" s="14"/>
      <c r="D87" s="4"/>
      <c r="E87" s="67"/>
      <c r="F87" s="67"/>
      <c r="G87" s="45"/>
      <c r="H87" s="86"/>
      <c r="I87" s="63"/>
    </row>
    <row r="88" spans="1:9" ht="16.5" customHeight="1" thickTop="1" thickBot="1">
      <c r="A88" s="203" t="e">
        <f>入札額積算資料・見積書!#REF!</f>
        <v>#REF!</v>
      </c>
      <c r="B88" s="204"/>
      <c r="C88" s="204"/>
      <c r="D88" s="204"/>
      <c r="E88" s="204"/>
      <c r="F88" s="205"/>
      <c r="G88" s="89"/>
      <c r="H88" s="219"/>
      <c r="I88" s="211"/>
    </row>
    <row r="89" spans="1:9" ht="16.5" customHeight="1" thickTop="1">
      <c r="A89" s="203" t="e">
        <f>入札額積算資料・見積書!#REF!</f>
        <v>#REF!</v>
      </c>
      <c r="B89" s="204"/>
      <c r="C89" s="204"/>
      <c r="D89" s="204"/>
      <c r="E89" s="204"/>
      <c r="F89" s="205"/>
      <c r="G89" s="45"/>
      <c r="H89" s="212"/>
      <c r="I89" s="64"/>
    </row>
    <row r="90" spans="1:9" ht="16.5" customHeight="1">
      <c r="A90" s="203" t="e">
        <f>入札額積算資料・見積書!#REF!</f>
        <v>#REF!</v>
      </c>
      <c r="B90" s="204"/>
      <c r="C90" s="204"/>
      <c r="D90" s="204"/>
      <c r="E90" s="204"/>
      <c r="F90" s="205"/>
      <c r="G90" s="47"/>
      <c r="H90" s="48"/>
      <c r="I90" s="64"/>
    </row>
    <row r="91" spans="1:9" ht="16.5" customHeight="1" thickBot="1">
      <c r="A91" s="206" t="e">
        <f>入札額積算資料・見積書!#REF!</f>
        <v>#REF!</v>
      </c>
      <c r="B91" s="207"/>
      <c r="C91" s="207"/>
      <c r="D91" s="207"/>
      <c r="E91" s="207"/>
      <c r="F91" s="208"/>
      <c r="G91" s="91"/>
      <c r="H91" s="92"/>
      <c r="I91" s="64"/>
    </row>
    <row r="92" spans="1:9" ht="16.5" customHeight="1">
      <c r="A92" s="257" t="e">
        <f>入札額積算資料・見積書!#REF!</f>
        <v>#REF!</v>
      </c>
      <c r="B92" s="258"/>
      <c r="C92" s="258"/>
      <c r="D92" s="258"/>
      <c r="E92" s="258"/>
      <c r="F92" s="259"/>
      <c r="G92" s="292"/>
      <c r="H92" s="292"/>
      <c r="I92" s="293"/>
    </row>
    <row r="93" spans="1:9" ht="16.5" customHeight="1" thickBot="1">
      <c r="A93" s="299" t="e">
        <f>入札額積算資料・見積書!#REF!</f>
        <v>#REF!</v>
      </c>
      <c r="B93" s="284" t="e">
        <f>入札額積算資料・見積書!#REF!</f>
        <v>#REF!</v>
      </c>
      <c r="C93" s="284" t="e">
        <f>入札額積算資料・見積書!#REF!</f>
        <v>#REF!</v>
      </c>
      <c r="D93" s="284" t="e">
        <f>入札額積算資料・見積書!#REF!</f>
        <v>#REF!</v>
      </c>
      <c r="E93" s="93" t="e">
        <f>入札額積算資料・見積書!#REF!</f>
        <v>#REF!</v>
      </c>
      <c r="F93" s="296" t="e">
        <f>入札額積算資料・見積書!#REF!</f>
        <v>#REF!</v>
      </c>
      <c r="G93" s="286"/>
      <c r="H93" s="286"/>
      <c r="I93" s="294"/>
    </row>
    <row r="94" spans="1:9" ht="16.5" customHeight="1" thickTop="1" thickBot="1">
      <c r="A94" s="270">
        <f>A66</f>
        <v>0</v>
      </c>
      <c r="B94" s="279" t="s">
        <v>118</v>
      </c>
      <c r="C94" s="209"/>
      <c r="D94" s="195"/>
      <c r="E94" s="213"/>
      <c r="F94" s="312"/>
      <c r="G94" s="275"/>
      <c r="H94" s="310"/>
      <c r="I94" s="218"/>
    </row>
    <row r="95" spans="1:9" ht="16.5" customHeight="1" thickTop="1" thickBot="1">
      <c r="A95" s="271">
        <f>A67</f>
        <v>0</v>
      </c>
      <c r="B95" s="280" t="s">
        <v>118</v>
      </c>
      <c r="C95" s="210"/>
      <c r="D95" s="196"/>
      <c r="E95" s="214"/>
      <c r="F95" s="216"/>
      <c r="G95" s="274"/>
      <c r="H95" s="311"/>
      <c r="I95" s="218"/>
    </row>
    <row r="96" spans="1:9" ht="16.5" customHeight="1">
      <c r="A96" s="257" t="e">
        <f>入札額積算資料・見積書!#REF!</f>
        <v>#REF!</v>
      </c>
      <c r="B96" s="258"/>
      <c r="C96" s="258"/>
      <c r="D96" s="258"/>
      <c r="E96" s="258"/>
      <c r="F96" s="259"/>
      <c r="G96" s="292"/>
      <c r="H96" s="292"/>
      <c r="I96" s="293"/>
    </row>
    <row r="97" spans="1:9" ht="16.5" customHeight="1" thickBot="1">
      <c r="A97" s="299" t="e">
        <f>入札額積算資料・見積書!#REF!</f>
        <v>#REF!</v>
      </c>
      <c r="B97" s="284" t="e">
        <f>入札額積算資料・見積書!#REF!</f>
        <v>#REF!</v>
      </c>
      <c r="C97" s="284" t="e">
        <f>入札額積算資料・見積書!#REF!</f>
        <v>#REF!</v>
      </c>
      <c r="D97" s="284" t="e">
        <f>入札額積算資料・見積書!#REF!</f>
        <v>#REF!</v>
      </c>
      <c r="E97" s="93" t="e">
        <f>入札額積算資料・見積書!#REF!</f>
        <v>#REF!</v>
      </c>
      <c r="F97" s="296" t="e">
        <f>入札額積算資料・見積書!#REF!</f>
        <v>#REF!</v>
      </c>
      <c r="G97" s="286"/>
      <c r="H97" s="286"/>
      <c r="I97" s="294"/>
    </row>
    <row r="98" spans="1:9" ht="16.5" customHeight="1" thickTop="1" thickBot="1">
      <c r="A98" s="66">
        <f>A70</f>
        <v>0</v>
      </c>
      <c r="B98" s="279" t="s">
        <v>118</v>
      </c>
      <c r="C98" s="209"/>
      <c r="D98" s="195"/>
      <c r="E98" s="213"/>
      <c r="F98" s="312"/>
      <c r="G98" s="273"/>
      <c r="H98" s="310"/>
      <c r="I98" s="218"/>
    </row>
    <row r="99" spans="1:9" ht="16.5" customHeight="1" thickTop="1" thickBot="1">
      <c r="A99" s="234">
        <f>A71</f>
        <v>0</v>
      </c>
      <c r="B99" s="280" t="s">
        <v>118</v>
      </c>
      <c r="C99" s="210"/>
      <c r="D99" s="196"/>
      <c r="E99" s="214"/>
      <c r="F99" s="216"/>
      <c r="G99" s="274"/>
      <c r="H99" s="311"/>
      <c r="I99" s="218"/>
    </row>
    <row r="100" spans="1:9" ht="16.5" customHeight="1" thickBot="1">
      <c r="A100" s="304" t="e">
        <f>入札額積算資料・見積書!#REF!</f>
        <v>#REF!</v>
      </c>
      <c r="B100" s="305"/>
      <c r="C100" s="305"/>
      <c r="D100" s="305"/>
      <c r="E100" s="305"/>
      <c r="F100" s="305"/>
      <c r="G100" s="305"/>
      <c r="H100" s="306"/>
      <c r="I100" s="307" t="str">
        <f>IFERROR(SUM(#REF!,#REF!,#REF!,#REF!),"")</f>
        <v/>
      </c>
    </row>
    <row r="101" spans="1:9" ht="16.5" customHeight="1" thickBot="1">
      <c r="A101" s="304" t="e">
        <f>入札額積算資料・見積書!#REF!</f>
        <v>#REF!</v>
      </c>
      <c r="B101" s="305"/>
      <c r="C101" s="305"/>
      <c r="D101" s="305"/>
      <c r="E101" s="305"/>
      <c r="F101" s="305"/>
      <c r="G101" s="305"/>
      <c r="H101" s="422"/>
      <c r="I101" s="423"/>
    </row>
    <row r="103" spans="1:9" ht="16.5" customHeight="1" thickBot="1">
      <c r="A103" s="1" t="str">
        <f>入札額積算資料・見積書!A83</f>
        <v>令和11年度のびのびルーム</v>
      </c>
      <c r="B103" s="10"/>
      <c r="C103" s="6"/>
      <c r="D103" s="6"/>
      <c r="E103" s="6"/>
      <c r="F103" s="6"/>
      <c r="G103" s="6"/>
      <c r="H103" s="6"/>
      <c r="I103" s="6"/>
    </row>
    <row r="104" spans="1:9" ht="16.5" customHeight="1">
      <c r="A104" s="440" t="e">
        <f>入札額積算資料・見積書!#REF!</f>
        <v>#REF!</v>
      </c>
      <c r="B104" s="428" t="e">
        <f>入札額積算資料・見積書!#REF!</f>
        <v>#REF!</v>
      </c>
      <c r="C104" s="430" t="e">
        <f>入札額積算資料・見積書!#REF!</f>
        <v>#REF!</v>
      </c>
      <c r="D104" s="430" t="e">
        <f>入札額積算資料・見積書!#REF!</f>
        <v>#REF!</v>
      </c>
      <c r="E104" s="428" t="e">
        <f>入札額積算資料・見積書!#REF!</f>
        <v>#REF!</v>
      </c>
      <c r="F104" s="428" t="e">
        <f>入札額積算資料・見積書!#REF!</f>
        <v>#REF!</v>
      </c>
      <c r="G104" s="430" t="e">
        <f>入札額積算資料・見積書!#REF!</f>
        <v>#REF!</v>
      </c>
      <c r="H104" s="436" t="e">
        <f>入札額積算資料・見積書!#REF!</f>
        <v>#REF!</v>
      </c>
      <c r="I104" s="438" t="e">
        <f>入札額積算資料・見積書!#REF!</f>
        <v>#REF!</v>
      </c>
    </row>
    <row r="105" spans="1:9" ht="16.5" customHeight="1" thickBot="1">
      <c r="A105" s="441" t="e">
        <f>入札額積算資料・見積書!#REF!</f>
        <v>#REF!</v>
      </c>
      <c r="B105" s="429" t="e">
        <f>入札額積算資料・見積書!#REF!</f>
        <v>#REF!</v>
      </c>
      <c r="C105" s="431" t="e">
        <f>入札額積算資料・見積書!#REF!</f>
        <v>#REF!</v>
      </c>
      <c r="D105" s="431" t="e">
        <f>入札額積算資料・見積書!#REF!</f>
        <v>#REF!</v>
      </c>
      <c r="E105" s="429" t="e">
        <f>入札額積算資料・見積書!#REF!</f>
        <v>#REF!</v>
      </c>
      <c r="F105" s="429" t="e">
        <f>入札額積算資料・見積書!#REF!</f>
        <v>#REF!</v>
      </c>
      <c r="G105" s="431" t="e">
        <f>入札額積算資料・見積書!#REF!</f>
        <v>#REF!</v>
      </c>
      <c r="H105" s="437" t="e">
        <f>入札額積算資料・見積書!#REF!</f>
        <v>#REF!</v>
      </c>
      <c r="I105" s="439" t="e">
        <f>入札額積算資料・見積書!#REF!</f>
        <v>#REF!</v>
      </c>
    </row>
    <row r="106" spans="1:9" ht="16.5" customHeight="1" thickTop="1">
      <c r="A106" s="476"/>
      <c r="B106" s="2"/>
      <c r="C106" s="19"/>
      <c r="D106" s="3"/>
      <c r="E106" s="66"/>
      <c r="F106" s="66"/>
      <c r="G106" s="46"/>
      <c r="H106" s="49"/>
      <c r="I106" s="62"/>
    </row>
    <row r="107" spans="1:9" ht="16.5" customHeight="1">
      <c r="A107" s="475"/>
      <c r="B107" s="14"/>
      <c r="C107" s="14"/>
      <c r="D107" s="4"/>
      <c r="E107" s="67"/>
      <c r="F107" s="67"/>
      <c r="G107" s="45"/>
      <c r="H107" s="68"/>
      <c r="I107" s="63"/>
    </row>
    <row r="108" spans="1:9" ht="16.5" customHeight="1">
      <c r="A108" s="474"/>
      <c r="B108" s="14"/>
      <c r="C108" s="19"/>
      <c r="D108" s="3"/>
      <c r="E108" s="66"/>
      <c r="F108" s="67"/>
      <c r="G108" s="45"/>
      <c r="H108" s="49"/>
      <c r="I108" s="62"/>
    </row>
    <row r="109" spans="1:9" ht="16.5" customHeight="1">
      <c r="A109" s="475"/>
      <c r="B109" s="14"/>
      <c r="C109" s="14"/>
      <c r="D109" s="4"/>
      <c r="E109" s="67"/>
      <c r="F109" s="67"/>
      <c r="G109" s="45"/>
      <c r="H109" s="68"/>
      <c r="I109" s="63"/>
    </row>
    <row r="110" spans="1:9" ht="16.5" customHeight="1">
      <c r="A110" s="474"/>
      <c r="B110" s="14"/>
      <c r="C110" s="19"/>
      <c r="D110" s="3"/>
      <c r="E110" s="66"/>
      <c r="F110" s="67"/>
      <c r="G110" s="45"/>
      <c r="H110" s="49"/>
      <c r="I110" s="62"/>
    </row>
    <row r="111" spans="1:9" ht="16.5" customHeight="1">
      <c r="A111" s="475"/>
      <c r="B111" s="14"/>
      <c r="C111" s="14"/>
      <c r="D111" s="4"/>
      <c r="E111" s="67"/>
      <c r="F111" s="67"/>
      <c r="G111" s="45"/>
      <c r="H111" s="68"/>
      <c r="I111" s="63"/>
    </row>
    <row r="112" spans="1:9" ht="16.5" customHeight="1">
      <c r="A112" s="474"/>
      <c r="B112" s="14"/>
      <c r="C112" s="19"/>
      <c r="D112" s="3"/>
      <c r="E112" s="66"/>
      <c r="F112" s="67"/>
      <c r="G112" s="45"/>
      <c r="H112" s="49"/>
      <c r="I112" s="62"/>
    </row>
    <row r="113" spans="1:9" ht="16.5" customHeight="1">
      <c r="A113" s="475"/>
      <c r="B113" s="14"/>
      <c r="C113" s="14"/>
      <c r="D113" s="4"/>
      <c r="E113" s="67"/>
      <c r="F113" s="67"/>
      <c r="G113" s="45"/>
      <c r="H113" s="68"/>
      <c r="I113" s="63"/>
    </row>
    <row r="114" spans="1:9" ht="16.5" customHeight="1">
      <c r="A114" s="474"/>
      <c r="B114" s="14"/>
      <c r="C114" s="29"/>
      <c r="D114" s="4"/>
      <c r="E114" s="67"/>
      <c r="F114" s="67"/>
      <c r="G114" s="45"/>
      <c r="H114" s="68"/>
      <c r="I114" s="63"/>
    </row>
    <row r="115" spans="1:9" ht="16.5" customHeight="1" thickBot="1">
      <c r="A115" s="475"/>
      <c r="B115" s="14"/>
      <c r="C115" s="14"/>
      <c r="D115" s="4"/>
      <c r="E115" s="67"/>
      <c r="F115" s="67"/>
      <c r="G115" s="45"/>
      <c r="H115" s="86"/>
      <c r="I115" s="63"/>
    </row>
    <row r="116" spans="1:9" ht="16.5" customHeight="1" thickTop="1" thickBot="1">
      <c r="A116" s="203" t="e">
        <f>入札額積算資料・見積書!#REF!</f>
        <v>#REF!</v>
      </c>
      <c r="B116" s="204"/>
      <c r="C116" s="204"/>
      <c r="D116" s="204"/>
      <c r="E116" s="204"/>
      <c r="F116" s="205"/>
      <c r="G116" s="89"/>
      <c r="H116" s="219"/>
      <c r="I116" s="211"/>
    </row>
    <row r="117" spans="1:9" ht="16.5" customHeight="1" thickTop="1">
      <c r="A117" s="203" t="e">
        <f>入札額積算資料・見積書!#REF!</f>
        <v>#REF!</v>
      </c>
      <c r="B117" s="204"/>
      <c r="C117" s="204"/>
      <c r="D117" s="204"/>
      <c r="E117" s="204"/>
      <c r="F117" s="205"/>
      <c r="G117" s="45"/>
      <c r="H117" s="212"/>
      <c r="I117" s="64"/>
    </row>
    <row r="118" spans="1:9" ht="16.5" customHeight="1">
      <c r="A118" s="203" t="e">
        <f>入札額積算資料・見積書!#REF!</f>
        <v>#REF!</v>
      </c>
      <c r="B118" s="204"/>
      <c r="C118" s="204"/>
      <c r="D118" s="204"/>
      <c r="E118" s="204"/>
      <c r="F118" s="205"/>
      <c r="G118" s="47"/>
      <c r="H118" s="48"/>
      <c r="I118" s="64"/>
    </row>
    <row r="119" spans="1:9" ht="16.5" customHeight="1" thickBot="1">
      <c r="A119" s="206" t="e">
        <f>入札額積算資料・見積書!#REF!</f>
        <v>#REF!</v>
      </c>
      <c r="B119" s="207"/>
      <c r="C119" s="207"/>
      <c r="D119" s="207"/>
      <c r="E119" s="207"/>
      <c r="F119" s="208"/>
      <c r="G119" s="91"/>
      <c r="H119" s="92"/>
      <c r="I119" s="64"/>
    </row>
    <row r="120" spans="1:9" ht="16.5" customHeight="1">
      <c r="A120" s="257" t="e">
        <f>入札額積算資料・見積書!#REF!</f>
        <v>#REF!</v>
      </c>
      <c r="B120" s="258"/>
      <c r="C120" s="258"/>
      <c r="D120" s="258"/>
      <c r="E120" s="258"/>
      <c r="F120" s="259"/>
      <c r="G120" s="292"/>
      <c r="H120" s="292"/>
      <c r="I120" s="293"/>
    </row>
    <row r="121" spans="1:9" ht="16.5" customHeight="1" thickBot="1">
      <c r="A121" s="299" t="e">
        <f>入札額積算資料・見積書!#REF!</f>
        <v>#REF!</v>
      </c>
      <c r="B121" s="284" t="e">
        <f>入札額積算資料・見積書!#REF!</f>
        <v>#REF!</v>
      </c>
      <c r="C121" s="284" t="e">
        <f>入札額積算資料・見積書!#REF!</f>
        <v>#REF!</v>
      </c>
      <c r="D121" s="284" t="e">
        <f>入札額積算資料・見積書!#REF!</f>
        <v>#REF!</v>
      </c>
      <c r="E121" s="93" t="e">
        <f>入札額積算資料・見積書!#REF!</f>
        <v>#REF!</v>
      </c>
      <c r="F121" s="296" t="e">
        <f>入札額積算資料・見積書!#REF!</f>
        <v>#REF!</v>
      </c>
      <c r="G121" s="286"/>
      <c r="H121" s="286"/>
      <c r="I121" s="294"/>
    </row>
    <row r="122" spans="1:9" ht="16.5" customHeight="1" thickTop="1" thickBot="1">
      <c r="A122" s="270">
        <f>A94</f>
        <v>0</v>
      </c>
      <c r="B122" s="279" t="s">
        <v>118</v>
      </c>
      <c r="C122" s="209"/>
      <c r="D122" s="195"/>
      <c r="E122" s="213"/>
      <c r="F122" s="312"/>
      <c r="G122" s="273"/>
      <c r="H122" s="310"/>
      <c r="I122" s="218"/>
    </row>
    <row r="123" spans="1:9" ht="16.5" customHeight="1" thickTop="1" thickBot="1">
      <c r="A123" s="271">
        <f>A95</f>
        <v>0</v>
      </c>
      <c r="B123" s="280" t="s">
        <v>118</v>
      </c>
      <c r="C123" s="210"/>
      <c r="D123" s="196"/>
      <c r="E123" s="214"/>
      <c r="F123" s="216"/>
      <c r="G123" s="274"/>
      <c r="H123" s="311"/>
      <c r="I123" s="218"/>
    </row>
    <row r="124" spans="1:9" ht="16.5" customHeight="1">
      <c r="A124" s="257" t="e">
        <f>入札額積算資料・見積書!#REF!</f>
        <v>#REF!</v>
      </c>
      <c r="B124" s="258"/>
      <c r="C124" s="258"/>
      <c r="D124" s="258"/>
      <c r="E124" s="258"/>
      <c r="F124" s="259"/>
      <c r="G124" s="292"/>
      <c r="H124" s="292"/>
      <c r="I124" s="293"/>
    </row>
    <row r="125" spans="1:9" ht="16.5" customHeight="1" thickBot="1">
      <c r="A125" s="299" t="e">
        <f>入札額積算資料・見積書!#REF!</f>
        <v>#REF!</v>
      </c>
      <c r="B125" s="284" t="e">
        <f>入札額積算資料・見積書!#REF!</f>
        <v>#REF!</v>
      </c>
      <c r="C125" s="284" t="e">
        <f>入札額積算資料・見積書!#REF!</f>
        <v>#REF!</v>
      </c>
      <c r="D125" s="284" t="e">
        <f>入札額積算資料・見積書!#REF!</f>
        <v>#REF!</v>
      </c>
      <c r="E125" s="93" t="e">
        <f>入札額積算資料・見積書!#REF!</f>
        <v>#REF!</v>
      </c>
      <c r="F125" s="296" t="e">
        <f>入札額積算資料・見積書!#REF!</f>
        <v>#REF!</v>
      </c>
      <c r="G125" s="286"/>
      <c r="H125" s="286"/>
      <c r="I125" s="294"/>
    </row>
    <row r="126" spans="1:9" ht="16.5" customHeight="1" thickTop="1" thickBot="1">
      <c r="A126" s="66">
        <f>A98</f>
        <v>0</v>
      </c>
      <c r="B126" s="279" t="s">
        <v>118</v>
      </c>
      <c r="C126" s="209"/>
      <c r="D126" s="195"/>
      <c r="E126" s="213"/>
      <c r="F126" s="312"/>
      <c r="G126" s="273"/>
      <c r="H126" s="310"/>
      <c r="I126" s="218"/>
    </row>
    <row r="127" spans="1:9" ht="16.5" customHeight="1" thickTop="1" thickBot="1">
      <c r="A127" s="234">
        <f>A99</f>
        <v>0</v>
      </c>
      <c r="B127" s="280" t="s">
        <v>118</v>
      </c>
      <c r="C127" s="210"/>
      <c r="D127" s="196"/>
      <c r="E127" s="214"/>
      <c r="F127" s="216"/>
      <c r="G127" s="274"/>
      <c r="H127" s="311"/>
      <c r="I127" s="218"/>
    </row>
    <row r="128" spans="1:9" ht="16.5" customHeight="1" thickBot="1">
      <c r="A128" s="304" t="e">
        <f>入札額積算資料・見積書!#REF!</f>
        <v>#REF!</v>
      </c>
      <c r="B128" s="305"/>
      <c r="C128" s="305"/>
      <c r="D128" s="305"/>
      <c r="E128" s="305"/>
      <c r="F128" s="305"/>
      <c r="G128" s="305"/>
      <c r="H128" s="306"/>
      <c r="I128" s="307" t="str">
        <f>IFERROR(SUM(#REF!,#REF!,#REF!,#REF!),"")</f>
        <v/>
      </c>
    </row>
    <row r="129" spans="1:9" ht="16.5" customHeight="1" thickBot="1">
      <c r="A129" s="304" t="e">
        <f>入札額積算資料・見積書!#REF!</f>
        <v>#REF!</v>
      </c>
      <c r="B129" s="305"/>
      <c r="C129" s="305"/>
      <c r="D129" s="305"/>
      <c r="E129" s="305"/>
      <c r="F129" s="305"/>
      <c r="G129" s="305"/>
      <c r="H129" s="422"/>
      <c r="I129" s="423"/>
    </row>
    <row r="131" spans="1:9" ht="16.5" customHeight="1" thickBot="1">
      <c r="A131" s="1" t="str">
        <f>入札額積算資料・見積書!A105</f>
        <v>令和12年度のびのびルーム</v>
      </c>
      <c r="B131" s="10"/>
      <c r="C131" s="6"/>
      <c r="D131" s="6"/>
      <c r="E131" s="6"/>
      <c r="F131" s="6"/>
      <c r="G131" s="6"/>
      <c r="H131" s="6"/>
      <c r="I131" s="6"/>
    </row>
    <row r="132" spans="1:9" ht="16.5" customHeight="1">
      <c r="A132" s="440" t="e">
        <f>入札額積算資料・見積書!#REF!</f>
        <v>#REF!</v>
      </c>
      <c r="B132" s="428" t="e">
        <f>入札額積算資料・見積書!#REF!</f>
        <v>#REF!</v>
      </c>
      <c r="C132" s="430" t="e">
        <f>入札額積算資料・見積書!#REF!</f>
        <v>#REF!</v>
      </c>
      <c r="D132" s="430" t="e">
        <f>入札額積算資料・見積書!#REF!</f>
        <v>#REF!</v>
      </c>
      <c r="E132" s="428" t="e">
        <f>入札額積算資料・見積書!#REF!</f>
        <v>#REF!</v>
      </c>
      <c r="F132" s="428" t="e">
        <f>入札額積算資料・見積書!#REF!</f>
        <v>#REF!</v>
      </c>
      <c r="G132" s="430" t="e">
        <f>入札額積算資料・見積書!#REF!</f>
        <v>#REF!</v>
      </c>
      <c r="H132" s="436" t="e">
        <f>入札額積算資料・見積書!#REF!</f>
        <v>#REF!</v>
      </c>
      <c r="I132" s="438" t="e">
        <f>入札額積算資料・見積書!#REF!</f>
        <v>#REF!</v>
      </c>
    </row>
    <row r="133" spans="1:9" ht="16.5" customHeight="1" thickBot="1">
      <c r="A133" s="441" t="e">
        <f>入札額積算資料・見積書!#REF!</f>
        <v>#REF!</v>
      </c>
      <c r="B133" s="429" t="e">
        <f>入札額積算資料・見積書!#REF!</f>
        <v>#REF!</v>
      </c>
      <c r="C133" s="431" t="e">
        <f>入札額積算資料・見積書!#REF!</f>
        <v>#REF!</v>
      </c>
      <c r="D133" s="431" t="e">
        <f>入札額積算資料・見積書!#REF!</f>
        <v>#REF!</v>
      </c>
      <c r="E133" s="429" t="e">
        <f>入札額積算資料・見積書!#REF!</f>
        <v>#REF!</v>
      </c>
      <c r="F133" s="429" t="e">
        <f>入札額積算資料・見積書!#REF!</f>
        <v>#REF!</v>
      </c>
      <c r="G133" s="431" t="e">
        <f>入札額積算資料・見積書!#REF!</f>
        <v>#REF!</v>
      </c>
      <c r="H133" s="437" t="e">
        <f>入札額積算資料・見積書!#REF!</f>
        <v>#REF!</v>
      </c>
      <c r="I133" s="439" t="e">
        <f>入札額積算資料・見積書!#REF!</f>
        <v>#REF!</v>
      </c>
    </row>
    <row r="134" spans="1:9" ht="16.5" customHeight="1" thickTop="1">
      <c r="A134" s="476"/>
      <c r="B134" s="2"/>
      <c r="C134" s="19"/>
      <c r="D134" s="3"/>
      <c r="E134" s="66"/>
      <c r="F134" s="66"/>
      <c r="G134" s="46"/>
      <c r="H134" s="49"/>
      <c r="I134" s="62"/>
    </row>
    <row r="135" spans="1:9" ht="16.5" customHeight="1">
      <c r="A135" s="475"/>
      <c r="B135" s="14"/>
      <c r="C135" s="14"/>
      <c r="D135" s="4"/>
      <c r="E135" s="67"/>
      <c r="F135" s="67"/>
      <c r="G135" s="45"/>
      <c r="H135" s="68"/>
      <c r="I135" s="63"/>
    </row>
    <row r="136" spans="1:9" ht="16.5" customHeight="1">
      <c r="A136" s="474"/>
      <c r="B136" s="14"/>
      <c r="C136" s="19"/>
      <c r="D136" s="3"/>
      <c r="E136" s="66"/>
      <c r="F136" s="67"/>
      <c r="G136" s="45"/>
      <c r="H136" s="49"/>
      <c r="I136" s="62"/>
    </row>
    <row r="137" spans="1:9" ht="16.5" customHeight="1">
      <c r="A137" s="475"/>
      <c r="B137" s="14"/>
      <c r="C137" s="14"/>
      <c r="D137" s="4"/>
      <c r="E137" s="67"/>
      <c r="F137" s="67"/>
      <c r="G137" s="45"/>
      <c r="H137" s="68"/>
      <c r="I137" s="63"/>
    </row>
    <row r="138" spans="1:9" ht="16.5" customHeight="1">
      <c r="A138" s="474"/>
      <c r="B138" s="14"/>
      <c r="C138" s="19"/>
      <c r="D138" s="3"/>
      <c r="E138" s="66"/>
      <c r="F138" s="67"/>
      <c r="G138" s="45"/>
      <c r="H138" s="49"/>
      <c r="I138" s="62"/>
    </row>
    <row r="139" spans="1:9" ht="16.5" customHeight="1">
      <c r="A139" s="475"/>
      <c r="B139" s="14"/>
      <c r="C139" s="14"/>
      <c r="D139" s="4"/>
      <c r="E139" s="67"/>
      <c r="F139" s="67"/>
      <c r="G139" s="45"/>
      <c r="H139" s="68"/>
      <c r="I139" s="63"/>
    </row>
    <row r="140" spans="1:9" ht="16.5" customHeight="1">
      <c r="A140" s="474"/>
      <c r="B140" s="14"/>
      <c r="C140" s="19"/>
      <c r="D140" s="3"/>
      <c r="E140" s="66"/>
      <c r="F140" s="67"/>
      <c r="G140" s="45"/>
      <c r="H140" s="49"/>
      <c r="I140" s="62"/>
    </row>
    <row r="141" spans="1:9" ht="16.5" customHeight="1">
      <c r="A141" s="475"/>
      <c r="B141" s="14"/>
      <c r="C141" s="14"/>
      <c r="D141" s="4"/>
      <c r="E141" s="67"/>
      <c r="F141" s="67"/>
      <c r="G141" s="45"/>
      <c r="H141" s="68"/>
      <c r="I141" s="63"/>
    </row>
    <row r="142" spans="1:9" ht="16.5" customHeight="1">
      <c r="A142" s="474"/>
      <c r="B142" s="14"/>
      <c r="C142" s="29"/>
      <c r="D142" s="4"/>
      <c r="E142" s="67"/>
      <c r="F142" s="67"/>
      <c r="G142" s="45"/>
      <c r="H142" s="68"/>
      <c r="I142" s="63"/>
    </row>
    <row r="143" spans="1:9" ht="16.5" customHeight="1">
      <c r="A143" s="475"/>
      <c r="B143" s="14"/>
      <c r="C143" s="14"/>
      <c r="D143" s="4"/>
      <c r="E143" s="67"/>
      <c r="F143" s="67"/>
      <c r="G143" s="45"/>
      <c r="H143" s="86"/>
      <c r="I143" s="63"/>
    </row>
    <row r="144" spans="1:9" ht="16.5" customHeight="1">
      <c r="A144" s="203" t="e">
        <f>入札額積算資料・見積書!#REF!</f>
        <v>#REF!</v>
      </c>
      <c r="B144" s="204"/>
      <c r="C144" s="204"/>
      <c r="D144" s="204"/>
      <c r="E144" s="204"/>
      <c r="F144" s="205"/>
      <c r="G144" s="89"/>
      <c r="H144" s="231"/>
      <c r="I144" s="211"/>
    </row>
    <row r="145" spans="1:9" ht="16.5" customHeight="1">
      <c r="A145" s="203" t="e">
        <f>入札額積算資料・見積書!#REF!</f>
        <v>#REF!</v>
      </c>
      <c r="B145" s="204"/>
      <c r="C145" s="204"/>
      <c r="D145" s="204"/>
      <c r="E145" s="204"/>
      <c r="F145" s="205"/>
      <c r="G145" s="45"/>
      <c r="H145" s="212"/>
      <c r="I145" s="64"/>
    </row>
    <row r="146" spans="1:9" ht="16.5" customHeight="1">
      <c r="A146" s="203" t="e">
        <f>入札額積算資料・見積書!#REF!</f>
        <v>#REF!</v>
      </c>
      <c r="B146" s="204"/>
      <c r="C146" s="204"/>
      <c r="D146" s="204"/>
      <c r="E146" s="204"/>
      <c r="F146" s="205"/>
      <c r="G146" s="47"/>
      <c r="H146" s="48"/>
      <c r="I146" s="64"/>
    </row>
    <row r="147" spans="1:9" ht="16.5" customHeight="1" thickBot="1">
      <c r="A147" s="206" t="e">
        <f>入札額積算資料・見積書!#REF!</f>
        <v>#REF!</v>
      </c>
      <c r="B147" s="207"/>
      <c r="C147" s="207"/>
      <c r="D147" s="207"/>
      <c r="E147" s="207"/>
      <c r="F147" s="208"/>
      <c r="G147" s="91"/>
      <c r="H147" s="92"/>
      <c r="I147" s="64"/>
    </row>
    <row r="148" spans="1:9" ht="16.5" customHeight="1">
      <c r="A148" s="257" t="e">
        <f>入札額積算資料・見積書!#REF!</f>
        <v>#REF!</v>
      </c>
      <c r="B148" s="258"/>
      <c r="C148" s="258"/>
      <c r="D148" s="258"/>
      <c r="E148" s="258"/>
      <c r="F148" s="259"/>
      <c r="G148" s="292"/>
      <c r="H148" s="292"/>
      <c r="I148" s="293"/>
    </row>
    <row r="149" spans="1:9" ht="16.5" customHeight="1" thickBot="1">
      <c r="A149" s="299" t="e">
        <f>入札額積算資料・見積書!#REF!</f>
        <v>#REF!</v>
      </c>
      <c r="B149" s="284" t="e">
        <f>入札額積算資料・見積書!#REF!</f>
        <v>#REF!</v>
      </c>
      <c r="C149" s="284" t="e">
        <f>入札額積算資料・見積書!#REF!</f>
        <v>#REF!</v>
      </c>
      <c r="D149" s="284" t="e">
        <f>入札額積算資料・見積書!#REF!</f>
        <v>#REF!</v>
      </c>
      <c r="E149" s="93" t="e">
        <f>入札額積算資料・見積書!#REF!</f>
        <v>#REF!</v>
      </c>
      <c r="F149" s="296" t="e">
        <f>入札額積算資料・見積書!#REF!</f>
        <v>#REF!</v>
      </c>
      <c r="G149" s="286"/>
      <c r="H149" s="286"/>
      <c r="I149" s="285"/>
    </row>
    <row r="150" spans="1:9" ht="16.5" customHeight="1" thickTop="1">
      <c r="A150" s="270">
        <f>A122</f>
        <v>0</v>
      </c>
      <c r="B150" s="279" t="s">
        <v>118</v>
      </c>
      <c r="C150" s="209"/>
      <c r="D150" s="195"/>
      <c r="E150" s="213"/>
      <c r="F150" s="215"/>
      <c r="G150" s="232"/>
      <c r="H150" s="255"/>
      <c r="I150" s="318"/>
    </row>
    <row r="151" spans="1:9" ht="16.5" customHeight="1" thickBot="1">
      <c r="A151" s="271">
        <f>A123</f>
        <v>0</v>
      </c>
      <c r="B151" s="280" t="s">
        <v>118</v>
      </c>
      <c r="C151" s="210"/>
      <c r="D151" s="196"/>
      <c r="E151" s="214"/>
      <c r="F151" s="216"/>
      <c r="G151" s="233"/>
      <c r="H151" s="256"/>
      <c r="I151" s="316"/>
    </row>
    <row r="152" spans="1:9" ht="16.5" customHeight="1">
      <c r="A152" s="257" t="e">
        <f>入札額積算資料・見積書!#REF!</f>
        <v>#REF!</v>
      </c>
      <c r="B152" s="258"/>
      <c r="C152" s="258"/>
      <c r="D152" s="258"/>
      <c r="E152" s="258"/>
      <c r="F152" s="259"/>
      <c r="G152" s="292"/>
      <c r="H152" s="292"/>
      <c r="I152" s="293"/>
    </row>
    <row r="153" spans="1:9" ht="16.5" customHeight="1" thickBot="1">
      <c r="A153" s="299" t="e">
        <f>入札額積算資料・見積書!#REF!</f>
        <v>#REF!</v>
      </c>
      <c r="B153" s="284" t="e">
        <f>入札額積算資料・見積書!#REF!</f>
        <v>#REF!</v>
      </c>
      <c r="C153" s="284" t="e">
        <f>入札額積算資料・見積書!#REF!</f>
        <v>#REF!</v>
      </c>
      <c r="D153" s="284" t="e">
        <f>入札額積算資料・見積書!#REF!</f>
        <v>#REF!</v>
      </c>
      <c r="E153" s="93" t="e">
        <f>入札額積算資料・見積書!#REF!</f>
        <v>#REF!</v>
      </c>
      <c r="F153" s="296" t="e">
        <f>入札額積算資料・見積書!#REF!</f>
        <v>#REF!</v>
      </c>
      <c r="G153" s="286"/>
      <c r="H153" s="286"/>
      <c r="I153" s="285"/>
    </row>
    <row r="154" spans="1:9" ht="16.5" customHeight="1" thickTop="1">
      <c r="A154" s="66">
        <f>A126</f>
        <v>0</v>
      </c>
      <c r="B154" s="279" t="s">
        <v>118</v>
      </c>
      <c r="C154" s="209"/>
      <c r="D154" s="195"/>
      <c r="E154" s="213"/>
      <c r="F154" s="215"/>
      <c r="G154" s="232"/>
      <c r="H154" s="255"/>
      <c r="I154" s="318"/>
    </row>
    <row r="155" spans="1:9" ht="16.5" customHeight="1" thickBot="1">
      <c r="A155" s="234">
        <f>A127</f>
        <v>0</v>
      </c>
      <c r="B155" s="280" t="s">
        <v>118</v>
      </c>
      <c r="C155" s="210"/>
      <c r="D155" s="196"/>
      <c r="E155" s="214"/>
      <c r="F155" s="216"/>
      <c r="G155" s="233"/>
      <c r="H155" s="256"/>
      <c r="I155" s="316"/>
    </row>
    <row r="156" spans="1:9" ht="16.5" customHeight="1" thickBot="1">
      <c r="A156" s="304" t="e">
        <f>入札額積算資料・見積書!#REF!</f>
        <v>#REF!</v>
      </c>
      <c r="B156" s="305"/>
      <c r="C156" s="305"/>
      <c r="D156" s="305"/>
      <c r="E156" s="305"/>
      <c r="F156" s="305"/>
      <c r="G156" s="305"/>
      <c r="H156" s="306"/>
      <c r="I156" s="307"/>
    </row>
    <row r="157" spans="1:9" ht="16.5" customHeight="1" thickBot="1">
      <c r="A157" s="304" t="e">
        <f>入札額積算資料・見積書!#REF!</f>
        <v>#REF!</v>
      </c>
      <c r="B157" s="305"/>
      <c r="C157" s="305"/>
      <c r="D157" s="305"/>
      <c r="E157" s="305"/>
      <c r="F157" s="305"/>
      <c r="G157" s="305"/>
      <c r="H157" s="422"/>
      <c r="I157" s="423"/>
    </row>
  </sheetData>
  <sheetProtection selectLockedCells="1"/>
  <mergeCells count="77">
    <mergeCell ref="F104:F105"/>
    <mergeCell ref="G104:G105"/>
    <mergeCell ref="H104:H105"/>
    <mergeCell ref="I104:I105"/>
    <mergeCell ref="H101:I101"/>
    <mergeCell ref="A76:A77"/>
    <mergeCell ref="B76:B77"/>
    <mergeCell ref="C76:C77"/>
    <mergeCell ref="D76:D77"/>
    <mergeCell ref="E76:E77"/>
    <mergeCell ref="B104:B105"/>
    <mergeCell ref="C104:C105"/>
    <mergeCell ref="D104:D105"/>
    <mergeCell ref="E104:E105"/>
    <mergeCell ref="A114:A115"/>
    <mergeCell ref="A108:A109"/>
    <mergeCell ref="A110:A111"/>
    <mergeCell ref="A112:A113"/>
    <mergeCell ref="A106:A107"/>
    <mergeCell ref="A104:A105"/>
    <mergeCell ref="A2:A9"/>
    <mergeCell ref="G2:G11"/>
    <mergeCell ref="A30:A31"/>
    <mergeCell ref="A20:A21"/>
    <mergeCell ref="I20:I21"/>
    <mergeCell ref="H20:H21"/>
    <mergeCell ref="G20:G21"/>
    <mergeCell ref="A28:A29"/>
    <mergeCell ref="A26:A27"/>
    <mergeCell ref="A24:A25"/>
    <mergeCell ref="A22:A23"/>
    <mergeCell ref="F20:F21"/>
    <mergeCell ref="E20:E21"/>
    <mergeCell ref="D20:D21"/>
    <mergeCell ref="C20:C21"/>
    <mergeCell ref="B20:B21"/>
    <mergeCell ref="A50:A51"/>
    <mergeCell ref="A52:A53"/>
    <mergeCell ref="A54:A55"/>
    <mergeCell ref="A56:A57"/>
    <mergeCell ref="A58:A59"/>
    <mergeCell ref="A48:A49"/>
    <mergeCell ref="B48:B49"/>
    <mergeCell ref="C48:C49"/>
    <mergeCell ref="D48:D49"/>
    <mergeCell ref="E48:E49"/>
    <mergeCell ref="F76:F77"/>
    <mergeCell ref="G76:G77"/>
    <mergeCell ref="H76:H77"/>
    <mergeCell ref="H73:I73"/>
    <mergeCell ref="H45:I45"/>
    <mergeCell ref="F48:F49"/>
    <mergeCell ref="G48:G49"/>
    <mergeCell ref="H48:H49"/>
    <mergeCell ref="I48:I49"/>
    <mergeCell ref="I76:I77"/>
    <mergeCell ref="A78:A79"/>
    <mergeCell ref="A80:A81"/>
    <mergeCell ref="A82:A83"/>
    <mergeCell ref="A84:A85"/>
    <mergeCell ref="A86:A87"/>
    <mergeCell ref="H157:I157"/>
    <mergeCell ref="H129:I129"/>
    <mergeCell ref="A136:A137"/>
    <mergeCell ref="A138:A139"/>
    <mergeCell ref="A140:A141"/>
    <mergeCell ref="A142:A143"/>
    <mergeCell ref="F132:F133"/>
    <mergeCell ref="G132:G133"/>
    <mergeCell ref="H132:H133"/>
    <mergeCell ref="I132:I133"/>
    <mergeCell ref="A134:A135"/>
    <mergeCell ref="A132:A133"/>
    <mergeCell ref="B132:B133"/>
    <mergeCell ref="C132:C133"/>
    <mergeCell ref="D132:D133"/>
    <mergeCell ref="E132:E133"/>
  </mergeCells>
  <phoneticPr fontId="1"/>
  <dataValidations count="1">
    <dataValidation type="list" allowBlank="1" showInputMessage="1" showErrorMessage="1" sqref="A1" xr:uid="{87CF737E-346C-41CD-BE7A-FF76DFFDB259}">
      <formula1>"堺区B,西区B,中区A,美原区"</formula1>
    </dataValidation>
  </dataValidation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0" id="{E59D944E-B500-43FE-9EBA-DF5300ABF7BC}">
            <xm:f>入札額積算資料・見積書!$J$7="契約2年目"</xm:f>
            <x14:dxf>
              <fill>
                <patternFill>
                  <bgColor rgb="FF92D050"/>
                </patternFill>
              </fill>
            </x14:dxf>
          </x14:cfRule>
          <xm:sqref>R1 H32 I38:I39 I42:I43</xm:sqref>
        </x14:conditionalFormatting>
        <x14:conditionalFormatting xmlns:xm="http://schemas.microsoft.com/office/excel/2006/main">
          <x14:cfRule type="expression" priority="9" id="{878911EB-7841-4ACA-88FD-44FF5B51D54F}">
            <xm:f>入札額積算資料・見積書!$J$7="契約3年目"</xm:f>
            <x14:dxf>
              <fill>
                <patternFill>
                  <bgColor rgb="FF92D050"/>
                </patternFill>
              </fill>
            </x14:dxf>
          </x14:cfRule>
          <xm:sqref>Y1 H60 I66:I67 I70:I71</xm:sqref>
        </x14:conditionalFormatting>
        <x14:conditionalFormatting xmlns:xm="http://schemas.microsoft.com/office/excel/2006/main">
          <x14:cfRule type="expression" priority="7" id="{234EE1B2-B4CC-4F9A-B856-624A66274C91}">
            <xm:f>入札額積算資料・見積書!$J$7="契約4年目"</xm:f>
            <x14:dxf>
              <fill>
                <patternFill>
                  <bgColor rgb="FF92D050"/>
                </patternFill>
              </fill>
            </x14:dxf>
          </x14:cfRule>
          <xm:sqref>AF1 H88 I94:I95 I98:I99</xm:sqref>
        </x14:conditionalFormatting>
        <x14:conditionalFormatting xmlns:xm="http://schemas.microsoft.com/office/excel/2006/main">
          <x14:cfRule type="expression" priority="6" id="{97A49F48-7FF6-41CF-94E9-B5644A8515B0}">
            <xm:f>入札額積算資料・見積書!$J$7="契約5年目"</xm:f>
            <x14:dxf>
              <fill>
                <patternFill>
                  <bgColor rgb="FF92D050"/>
                </patternFill>
              </fill>
            </x14:dxf>
          </x14:cfRule>
          <xm:sqref>AM1 H116 I122:I123 I126:I127</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C4252-0C97-49CA-BC29-777F9BF88549}">
  <sheetPr codeName="Sheet4"/>
  <dimension ref="A1:BB67"/>
  <sheetViews>
    <sheetView showGridLines="0" view="pageBreakPreview" zoomScaleNormal="100" zoomScaleSheetLayoutView="100" zoomScalePageLayoutView="70" workbookViewId="0">
      <pane xSplit="1" ySplit="1" topLeftCell="H2" activePane="bottomRight" state="frozen"/>
      <selection activeCell="A44" sqref="A44"/>
      <selection pane="topRight" activeCell="A44" sqref="A44"/>
      <selection pane="bottomLeft" activeCell="A44" sqref="A44"/>
      <selection pane="bottomRight" activeCell="U58" sqref="U58"/>
    </sheetView>
  </sheetViews>
  <sheetFormatPr defaultColWidth="9" defaultRowHeight="14.25"/>
  <cols>
    <col min="1" max="1" width="9" style="99"/>
    <col min="2" max="2" width="5.5" style="99" customWidth="1"/>
    <col min="3" max="26" width="3.625" style="99" customWidth="1"/>
    <col min="27" max="27" width="5.5" style="99" customWidth="1"/>
    <col min="28" max="28" width="13.875" style="99" customWidth="1"/>
    <col min="29" max="54" width="14.125" style="99" customWidth="1"/>
    <col min="55" max="16384" width="9" style="99"/>
  </cols>
  <sheetData>
    <row r="1" spans="1:32" ht="15" thickBot="1">
      <c r="A1" s="94">
        <v>2026</v>
      </c>
      <c r="B1" s="95" t="s">
        <v>85</v>
      </c>
      <c r="C1" s="96">
        <v>4</v>
      </c>
      <c r="D1" s="97" t="s">
        <v>86</v>
      </c>
      <c r="E1" s="96">
        <v>5</v>
      </c>
      <c r="F1" s="97" t="s">
        <v>86</v>
      </c>
      <c r="G1" s="98">
        <v>6</v>
      </c>
      <c r="H1" s="97" t="s">
        <v>86</v>
      </c>
      <c r="I1" s="96">
        <v>7</v>
      </c>
      <c r="J1" s="97" t="s">
        <v>86</v>
      </c>
      <c r="K1" s="96">
        <v>8</v>
      </c>
      <c r="L1" s="97" t="s">
        <v>86</v>
      </c>
      <c r="M1" s="98">
        <v>9</v>
      </c>
      <c r="N1" s="97" t="s">
        <v>86</v>
      </c>
      <c r="O1" s="96">
        <v>10</v>
      </c>
      <c r="P1" s="97" t="s">
        <v>86</v>
      </c>
      <c r="Q1" s="98">
        <v>11</v>
      </c>
      <c r="R1" s="97" t="s">
        <v>37</v>
      </c>
      <c r="S1" s="96">
        <v>12</v>
      </c>
      <c r="T1" s="97" t="s">
        <v>37</v>
      </c>
      <c r="U1" s="98">
        <v>1</v>
      </c>
      <c r="V1" s="97" t="s">
        <v>37</v>
      </c>
      <c r="W1" s="96">
        <v>2</v>
      </c>
      <c r="X1" s="97" t="s">
        <v>37</v>
      </c>
      <c r="Y1" s="98">
        <v>3</v>
      </c>
      <c r="Z1" s="97" t="s">
        <v>37</v>
      </c>
      <c r="AA1" s="95" t="s">
        <v>85</v>
      </c>
      <c r="AC1" s="487" t="s">
        <v>32</v>
      </c>
      <c r="AD1" s="486" t="s">
        <v>33</v>
      </c>
      <c r="AE1" s="484"/>
      <c r="AF1" s="485"/>
    </row>
    <row r="2" spans="1:32" ht="15" thickBot="1">
      <c r="A2" s="100" t="s">
        <v>87</v>
      </c>
      <c r="B2" s="101">
        <v>1</v>
      </c>
      <c r="C2" s="102" t="str">
        <f>TEXT($A$1&amp;-C$1&amp;-$B2,"aaa;;;")</f>
        <v>水</v>
      </c>
      <c r="D2" s="103" t="str">
        <f>IF(C2="","",IF(COUNTIF(C$44:C$55,$B2),"",IF(C2="日","",IF(C2="土","◇",IF(COUNTIF(C$56:C$67,$B2),"◎",IF(COUNTIF(D$44:D$67,$B2),"△",IF(C2="水","●","○")))))))</f>
        <v>△</v>
      </c>
      <c r="E2" s="102" t="str">
        <f>TEXT($A$1&amp;-E$1&amp;-$B2,"aaa;;;")</f>
        <v>金</v>
      </c>
      <c r="F2" s="103" t="str">
        <f>IF(E2="","",IF(COUNTIF(E$44:E$55,$B2),"",IF(E2="日","",IF(E2="土","◇",IF(COUNTIF(E$56:E$67,$B2),"◎",IF(COUNTIF(F$44:F$67,$B2),"△",IF(E2="水","●","○")))))))</f>
        <v>○</v>
      </c>
      <c r="G2" s="104" t="str">
        <f>TEXT($A$1&amp;-G$1&amp;-$B2,"aaa;;;")</f>
        <v>月</v>
      </c>
      <c r="H2" s="105" t="str">
        <f>IF(G2="","",IF(COUNTIF(G$44:G$55,$B2),"",IF(G2="日","",IF(G2="土","◇",IF(COUNTIF(G$56:G$67,$B2),"◎",IF(COUNTIF(H$44:H$67,$B2),"△",IF(G2="水","●","○")))))))</f>
        <v>○</v>
      </c>
      <c r="I2" s="102" t="str">
        <f>TEXT($A$1&amp;-I$1&amp;-$B2,"aaa;;;")</f>
        <v>水</v>
      </c>
      <c r="J2" s="105" t="str">
        <f t="shared" ref="J2:J32" si="0">IF(I2="","",IF(COUNTIF(I$44:I$55,$B2),"",IF(I2="日","",IF(I2="土","◇",IF(COUNTIF(I$56:I$67,$B2),"◎",IF(COUNTIF(J$44:J$67,$B2),"▲",IF(I2="水","●","○")))))))</f>
        <v>●</v>
      </c>
      <c r="K2" s="102" t="str">
        <f>TEXT($A$1&amp;-K$1&amp;-$B2,"aaa;;;")</f>
        <v>土</v>
      </c>
      <c r="L2" s="103" t="str">
        <f t="shared" ref="L2:L32" si="1">IF(K2="","",IF(COUNTIF(K$44:K$55,$B2),"",IF(K2="日","",IF(K2="土","◇",IF(COUNTIF(K$56:K$67,$B2),"◎",IF(COUNTIF(L$44:L$67,$B2),"▲",IF(K2="水","●","○")))))))</f>
        <v>◇</v>
      </c>
      <c r="M2" s="104" t="str">
        <f>TEXT($A$1&amp;-M$1&amp;-$B2,"aaa;;;")</f>
        <v>火</v>
      </c>
      <c r="N2" s="105" t="str">
        <f t="shared" ref="N2:N32" si="2">IF(M2="","",IF(COUNTIF(M$44:M$55,$B2),"",IF(M2="日","",IF(M2="土","◇",IF(COUNTIF(M$56:M$67,$B2),"◎",IF(COUNTIF(N$44:N$67,$B2),"△",IF(M2="水","●","○")))))))</f>
        <v>○</v>
      </c>
      <c r="O2" s="102" t="str">
        <f>TEXT($A$1&amp;-O$1&amp;-$B2,"aaa;;;")</f>
        <v>木</v>
      </c>
      <c r="P2" s="103" t="str">
        <f t="shared" ref="P2:P32" si="3">IF(O2="","",IF(COUNTIF(O$44:O$55,$B2),"",IF(O2="日","",IF(O2="土","◇",IF(COUNTIF(O$56:O$67,$B2),"◎",IF(COUNTIF(P$44:P$67,$B2),"△",IF(O2="水","●","○")))))))</f>
        <v>○</v>
      </c>
      <c r="Q2" s="104" t="str">
        <f>TEXT($A$1&amp;-Q$1&amp;-$B2,"aaa;;;")</f>
        <v>日</v>
      </c>
      <c r="R2" s="105" t="str">
        <f>IF(Q2="","",IF(COUNTIF(Q$44:Q$55,$B2),"",IF(Q2="日","",IF(Q2="土","◇",IF(COUNTIF(Q$56:Q$67,$B2),"◎",IF(COUNTIF(R$44:R$67,$B2),"△",IF(Q2="水","●","○")))))))</f>
        <v/>
      </c>
      <c r="S2" s="102" t="str">
        <f>TEXT($A$1&amp;-S$1&amp;-$B2,"aaa;;;")</f>
        <v>火</v>
      </c>
      <c r="T2" s="103" t="str">
        <f>IF(S2="","",IF(COUNTIF(S$44:S$55,$B2),"",IF(S2="日","",IF(S2="土","◇",IF(COUNTIF(S$56:S$67,$B2),"◎",IF(COUNTIF(T$44:T$67,$B2),"△",IF(S2="水","●","○")))))))</f>
        <v>○</v>
      </c>
      <c r="U2" s="104" t="str">
        <f>TEXT($A$4&amp;-U$1&amp;-$B2,"aaa;;;")</f>
        <v>金</v>
      </c>
      <c r="V2" s="105" t="str">
        <f>IF(U2="","",IF(COUNTIF(U$44:U$55,$B2),"",IF(U2="日","",IF(U2="土","◇",IF(COUNTIF(U$56:U$67,$B2),"◎",IF(COUNTIF(V$44:V$67,$B2),"△",IF(U2="水","●","○")))))))</f>
        <v/>
      </c>
      <c r="W2" s="102" t="str">
        <f t="shared" ref="W2:W32" si="4">TEXT($A$4&amp;-W$1&amp;-$B2,"aaa;;;")</f>
        <v>月</v>
      </c>
      <c r="X2" s="103" t="str">
        <f>IF(W2="","",IF(COUNTIF(W$44:W$55,$B2),"",IF(W2="日","",IF(W2="土","◇",IF(COUNTIF(W$56:W$67,$B2),"◎",IF(COUNTIF(X$44:X$67,$B2),"△",IF(W2="水","●","○")))))))</f>
        <v>○</v>
      </c>
      <c r="Y2" s="104" t="str">
        <f t="shared" ref="Y2:Y32" si="5">TEXT($A$4&amp;-Y$1&amp;-$B2,"aaa;;;")</f>
        <v>月</v>
      </c>
      <c r="Z2" s="103" t="str">
        <f>IF(Y2="","",IF(COUNTIF(Y$44:Y$55,$B2),"",IF(Y2="日","",IF(Y2="土","◇",IF(COUNTIF(Y$56:Y$67,$B2),"◎",IF(COUNTIF(Z$44:Z$67,$B2),"△",IF(Y2="水","●","○")))))))</f>
        <v>○</v>
      </c>
      <c r="AA2" s="101">
        <v>1</v>
      </c>
      <c r="AC2" s="487"/>
      <c r="AD2" s="486"/>
      <c r="AE2" s="485" t="s">
        <v>34</v>
      </c>
      <c r="AF2" s="485" t="s">
        <v>35</v>
      </c>
    </row>
    <row r="3" spans="1:32" ht="15" thickBot="1">
      <c r="B3" s="106">
        <v>2</v>
      </c>
      <c r="C3" s="107" t="str">
        <f t="shared" ref="C3:C32" si="6">TEXT($A$1&amp;-C$1&amp;-$B3,"aaa;;;")</f>
        <v>木</v>
      </c>
      <c r="D3" s="108" t="str">
        <f t="shared" ref="D3:D30" si="7">IF(C3="","",IF(COUNTIF(C$44:C$55,$B3),"",IF(C3="日","",IF(C3="土","◇",IF(COUNTIF(C$56:C$67,$B3),"◎",IF(COUNTIF(D$44:D$67,$B3),"△",IF(C3="水","●","○")))))))</f>
        <v>△</v>
      </c>
      <c r="E3" s="107" t="str">
        <f t="shared" ref="E3:E32" si="8">TEXT($A$1&amp;-E$1&amp;-$B3,"aaa;;;")</f>
        <v>土</v>
      </c>
      <c r="F3" s="108" t="str">
        <f t="shared" ref="F3:F32" si="9">IF(E3="","",IF(COUNTIF(E$44:E$55,$B3),"",IF(E3="日","",IF(E3="土","◇",IF(COUNTIF(E$56:E$67,$B3),"◎",IF(COUNTIF(F$44:F$67,$B3),"△",IF(E3="水","●","○")))))))</f>
        <v>◇</v>
      </c>
      <c r="G3" s="109" t="str">
        <f t="shared" ref="G3:G32" si="10">TEXT($A$1&amp;-G$1&amp;-$B3,"aaa;;;")</f>
        <v>火</v>
      </c>
      <c r="H3" s="110" t="str">
        <f t="shared" ref="H3:H32" si="11">IF(G3="","",IF(COUNTIF(G$44:G$55,$B3),"",IF(G3="日","",IF(G3="土","◇",IF(COUNTIF(G$56:G$67,$B3),"◎",IF(COUNTIF(H$44:H$67,$B3),"△",IF(G3="水","●","○")))))))</f>
        <v>○</v>
      </c>
      <c r="I3" s="107" t="str">
        <f t="shared" ref="I3:I32" si="12">TEXT($A$1&amp;-I$1&amp;-$B3,"aaa;;;")</f>
        <v>木</v>
      </c>
      <c r="J3" s="108" t="str">
        <f t="shared" si="0"/>
        <v>○</v>
      </c>
      <c r="K3" s="107" t="str">
        <f t="shared" ref="K3:K31" si="13">TEXT($A$1&amp;-K$1&amp;-$B3,"aaa;;;")</f>
        <v>日</v>
      </c>
      <c r="L3" s="108" t="str">
        <f t="shared" si="1"/>
        <v/>
      </c>
      <c r="M3" s="109" t="str">
        <f t="shared" ref="M3:M32" si="14">TEXT($A$1&amp;-M$1&amp;-$B3,"aaa;;;")</f>
        <v>水</v>
      </c>
      <c r="N3" s="110" t="str">
        <f t="shared" si="2"/>
        <v>●</v>
      </c>
      <c r="O3" s="107" t="str">
        <f t="shared" ref="O3:O32" si="15">TEXT($A$1&amp;-O$1&amp;-$B3,"aaa;;;")</f>
        <v>金</v>
      </c>
      <c r="P3" s="108" t="str">
        <f t="shared" si="3"/>
        <v>○</v>
      </c>
      <c r="Q3" s="109" t="str">
        <f t="shared" ref="Q3:Q32" si="16">TEXT($A$1&amp;-Q$1&amp;-$B3,"aaa;;;")</f>
        <v>月</v>
      </c>
      <c r="R3" s="110" t="str">
        <f t="shared" ref="R3:R32" si="17">IF(Q3="","",IF(COUNTIF(Q$44:Q$55,$B3),"",IF(Q3="日","",IF(Q3="土","◇",IF(COUNTIF(Q$56:Q$67,$B3),"◎",IF(COUNTIF(R$44:R$67,$B3),"△",IF(Q3="水","●","○")))))))</f>
        <v>○</v>
      </c>
      <c r="S3" s="107" t="str">
        <f t="shared" ref="S3:S32" si="18">TEXT($A$1&amp;-S$1&amp;-$B3,"aaa;;;")</f>
        <v>水</v>
      </c>
      <c r="T3" s="108" t="str">
        <f t="shared" ref="T3:T32" si="19">IF(S3="","",IF(COUNTIF(S$44:S$55,$B3),"",IF(S3="日","",IF(S3="土","◇",IF(COUNTIF(S$56:S$67,$B3),"◎",IF(COUNTIF(T$44:T$67,$B3),"△",IF(S3="水","●","○")))))))</f>
        <v>●</v>
      </c>
      <c r="U3" s="109" t="str">
        <f t="shared" ref="U3:U32" si="20">TEXT($A$4&amp;-U$1&amp;-$B3,"aaa;;;")</f>
        <v>土</v>
      </c>
      <c r="V3" s="110" t="str">
        <f t="shared" ref="V3:V32" si="21">IF(U3="","",IF(COUNTIF(U$44:U$55,$B3),"",IF(U3="日","",IF(U3="土","◇",IF(COUNTIF(U$56:U$67,$B3),"◎",IF(COUNTIF(V$44:V$67,$B3),"△",IF(U3="水","●","○")))))))</f>
        <v/>
      </c>
      <c r="W3" s="107" t="str">
        <f t="shared" si="4"/>
        <v>火</v>
      </c>
      <c r="X3" s="108" t="str">
        <f t="shared" ref="X3:X32" si="22">IF(W3="","",IF(COUNTIF(W$44:W$55,$B3),"",IF(W3="日","",IF(W3="土","◇",IF(COUNTIF(W$56:W$67,$B3),"◎",IF(COUNTIF(X$44:X$67,$B3),"△",IF(W3="水","●","○")))))))</f>
        <v>○</v>
      </c>
      <c r="Y3" s="109" t="str">
        <f t="shared" si="5"/>
        <v>火</v>
      </c>
      <c r="Z3" s="108" t="str">
        <f t="shared" ref="Z3:Z32" si="23">IF(Y3="","",IF(COUNTIF(Y$44:Y$55,$B3),"",IF(Y3="日","",IF(Y3="土","◇",IF(COUNTIF(Y$56:Y$67,$B3),"◎",IF(COUNTIF(Z$44:Z$67,$B3),"△",IF(Y3="水","●","○")))))))</f>
        <v>○</v>
      </c>
      <c r="AA3" s="106">
        <v>2</v>
      </c>
      <c r="AC3" s="487"/>
      <c r="AD3" s="486"/>
      <c r="AE3" s="485"/>
      <c r="AF3" s="485"/>
    </row>
    <row r="4" spans="1:32" ht="15" thickBot="1">
      <c r="A4" s="111">
        <f>A1+1</f>
        <v>2027</v>
      </c>
      <c r="B4" s="106">
        <v>3</v>
      </c>
      <c r="C4" s="107" t="str">
        <f t="shared" si="6"/>
        <v>金</v>
      </c>
      <c r="D4" s="108" t="str">
        <f t="shared" si="7"/>
        <v>△</v>
      </c>
      <c r="E4" s="107" t="str">
        <f t="shared" si="8"/>
        <v>日</v>
      </c>
      <c r="F4" s="108" t="str">
        <f t="shared" si="9"/>
        <v/>
      </c>
      <c r="G4" s="109" t="str">
        <f t="shared" si="10"/>
        <v>水</v>
      </c>
      <c r="H4" s="110" t="str">
        <f t="shared" si="11"/>
        <v>●</v>
      </c>
      <c r="I4" s="107" t="str">
        <f t="shared" si="12"/>
        <v>金</v>
      </c>
      <c r="J4" s="108" t="str">
        <f t="shared" si="0"/>
        <v>○</v>
      </c>
      <c r="K4" s="107" t="str">
        <f t="shared" si="13"/>
        <v>月</v>
      </c>
      <c r="L4" s="108" t="str">
        <f t="shared" si="1"/>
        <v>▲</v>
      </c>
      <c r="M4" s="109" t="str">
        <f t="shared" si="14"/>
        <v>木</v>
      </c>
      <c r="N4" s="110" t="str">
        <f t="shared" si="2"/>
        <v>○</v>
      </c>
      <c r="O4" s="107" t="str">
        <f t="shared" si="15"/>
        <v>土</v>
      </c>
      <c r="P4" s="108" t="str">
        <f t="shared" si="3"/>
        <v>◇</v>
      </c>
      <c r="Q4" s="109" t="str">
        <f t="shared" si="16"/>
        <v>火</v>
      </c>
      <c r="R4" s="110" t="str">
        <f t="shared" si="17"/>
        <v/>
      </c>
      <c r="S4" s="107" t="str">
        <f t="shared" si="18"/>
        <v>木</v>
      </c>
      <c r="T4" s="108" t="str">
        <f t="shared" si="19"/>
        <v>○</v>
      </c>
      <c r="U4" s="109" t="str">
        <f t="shared" si="20"/>
        <v>日</v>
      </c>
      <c r="V4" s="110" t="str">
        <f t="shared" si="21"/>
        <v/>
      </c>
      <c r="W4" s="107" t="str">
        <f t="shared" si="4"/>
        <v>水</v>
      </c>
      <c r="X4" s="108" t="str">
        <f t="shared" si="22"/>
        <v>●</v>
      </c>
      <c r="Y4" s="109" t="str">
        <f t="shared" si="5"/>
        <v>水</v>
      </c>
      <c r="Z4" s="108" t="str">
        <f t="shared" si="23"/>
        <v>●</v>
      </c>
      <c r="AA4" s="106">
        <v>3</v>
      </c>
      <c r="AC4" s="487"/>
      <c r="AD4" s="486"/>
      <c r="AE4" s="485"/>
      <c r="AF4" s="485"/>
    </row>
    <row r="5" spans="1:32" ht="15" thickBot="1">
      <c r="A5" s="100" t="s">
        <v>87</v>
      </c>
      <c r="B5" s="106">
        <v>4</v>
      </c>
      <c r="C5" s="107" t="str">
        <f t="shared" si="6"/>
        <v>土</v>
      </c>
      <c r="D5" s="108" t="str">
        <f t="shared" si="7"/>
        <v>◇</v>
      </c>
      <c r="E5" s="107" t="str">
        <f t="shared" si="8"/>
        <v>月</v>
      </c>
      <c r="F5" s="108" t="str">
        <f t="shared" si="9"/>
        <v/>
      </c>
      <c r="G5" s="109" t="str">
        <f t="shared" si="10"/>
        <v>木</v>
      </c>
      <c r="H5" s="110" t="str">
        <f t="shared" si="11"/>
        <v>○</v>
      </c>
      <c r="I5" s="107" t="str">
        <f t="shared" si="12"/>
        <v>土</v>
      </c>
      <c r="J5" s="108" t="str">
        <f t="shared" si="0"/>
        <v>◇</v>
      </c>
      <c r="K5" s="107" t="str">
        <f t="shared" si="13"/>
        <v>火</v>
      </c>
      <c r="L5" s="108" t="str">
        <f t="shared" si="1"/>
        <v>▲</v>
      </c>
      <c r="M5" s="109" t="str">
        <f t="shared" si="14"/>
        <v>金</v>
      </c>
      <c r="N5" s="110" t="str">
        <f t="shared" si="2"/>
        <v>○</v>
      </c>
      <c r="O5" s="107" t="str">
        <f t="shared" si="15"/>
        <v>日</v>
      </c>
      <c r="P5" s="108" t="str">
        <f t="shared" si="3"/>
        <v/>
      </c>
      <c r="Q5" s="109" t="str">
        <f t="shared" si="16"/>
        <v>水</v>
      </c>
      <c r="R5" s="110" t="str">
        <f t="shared" si="17"/>
        <v>●</v>
      </c>
      <c r="S5" s="107" t="str">
        <f t="shared" si="18"/>
        <v>金</v>
      </c>
      <c r="T5" s="108" t="str">
        <f t="shared" si="19"/>
        <v>○</v>
      </c>
      <c r="U5" s="109" t="str">
        <f t="shared" si="20"/>
        <v>月</v>
      </c>
      <c r="V5" s="110" t="str">
        <f t="shared" si="21"/>
        <v>△</v>
      </c>
      <c r="W5" s="107" t="str">
        <f t="shared" si="4"/>
        <v>木</v>
      </c>
      <c r="X5" s="108" t="str">
        <f t="shared" si="22"/>
        <v>○</v>
      </c>
      <c r="Y5" s="109" t="str">
        <f t="shared" si="5"/>
        <v>木</v>
      </c>
      <c r="Z5" s="108" t="str">
        <f t="shared" si="23"/>
        <v>○</v>
      </c>
      <c r="AA5" s="106">
        <v>4</v>
      </c>
      <c r="AC5" s="167" t="s">
        <v>36</v>
      </c>
      <c r="AD5" s="375" t="e">
        <f>SUM(AE5:AF5)</f>
        <v>#VALUE!</v>
      </c>
      <c r="AE5" s="375">
        <f>ROUNDUP(SUM(入札額積算資料・見積書!$F$26)*(SUM(AE42)/$AC$42),-1)</f>
        <v>0</v>
      </c>
      <c r="AF5" s="375" t="e">
        <f>入札額積算資料・見積書!$G$26/12</f>
        <v>#VALUE!</v>
      </c>
    </row>
    <row r="6" spans="1:32">
      <c r="B6" s="106">
        <v>5</v>
      </c>
      <c r="C6" s="107" t="str">
        <f t="shared" si="6"/>
        <v>日</v>
      </c>
      <c r="D6" s="108" t="str">
        <f t="shared" si="7"/>
        <v/>
      </c>
      <c r="E6" s="107" t="str">
        <f t="shared" si="8"/>
        <v>火</v>
      </c>
      <c r="F6" s="108" t="str">
        <f t="shared" si="9"/>
        <v/>
      </c>
      <c r="G6" s="109" t="str">
        <f t="shared" si="10"/>
        <v>金</v>
      </c>
      <c r="H6" s="110" t="str">
        <f t="shared" si="11"/>
        <v>○</v>
      </c>
      <c r="I6" s="107" t="str">
        <f t="shared" si="12"/>
        <v>日</v>
      </c>
      <c r="J6" s="108" t="str">
        <f t="shared" si="0"/>
        <v/>
      </c>
      <c r="K6" s="107" t="str">
        <f t="shared" si="13"/>
        <v>水</v>
      </c>
      <c r="L6" s="108" t="str">
        <f t="shared" si="1"/>
        <v>▲</v>
      </c>
      <c r="M6" s="109" t="str">
        <f t="shared" si="14"/>
        <v>土</v>
      </c>
      <c r="N6" s="110" t="str">
        <f t="shared" si="2"/>
        <v>◇</v>
      </c>
      <c r="O6" s="107" t="str">
        <f t="shared" si="15"/>
        <v>月</v>
      </c>
      <c r="P6" s="108" t="str">
        <f t="shared" si="3"/>
        <v>○</v>
      </c>
      <c r="Q6" s="109" t="str">
        <f t="shared" si="16"/>
        <v>木</v>
      </c>
      <c r="R6" s="110" t="str">
        <f t="shared" si="17"/>
        <v>○</v>
      </c>
      <c r="S6" s="107" t="str">
        <f t="shared" si="18"/>
        <v>土</v>
      </c>
      <c r="T6" s="108" t="str">
        <f t="shared" si="19"/>
        <v>◇</v>
      </c>
      <c r="U6" s="109" t="str">
        <f t="shared" si="20"/>
        <v>火</v>
      </c>
      <c r="V6" s="110" t="str">
        <f t="shared" si="21"/>
        <v>△</v>
      </c>
      <c r="W6" s="107" t="str">
        <f t="shared" si="4"/>
        <v>金</v>
      </c>
      <c r="X6" s="108" t="str">
        <f t="shared" si="22"/>
        <v>○</v>
      </c>
      <c r="Y6" s="109" t="str">
        <f t="shared" si="5"/>
        <v>金</v>
      </c>
      <c r="Z6" s="108" t="str">
        <f t="shared" si="23"/>
        <v>○</v>
      </c>
      <c r="AA6" s="106">
        <v>5</v>
      </c>
      <c r="AC6" s="167" t="s">
        <v>22</v>
      </c>
      <c r="AD6" s="375" t="e">
        <f t="shared" ref="AD6:AD17" si="24">SUM(AE6:AF6)</f>
        <v>#VALUE!</v>
      </c>
      <c r="AE6" s="375">
        <f>ROUNDUP(SUM(入札額積算資料・見積書!$F$26)*(SUM(AG42)/$AC$42),-1)</f>
        <v>0</v>
      </c>
      <c r="AF6" s="375" t="e">
        <f>入札額積算資料・見積書!$G$26/12</f>
        <v>#VALUE!</v>
      </c>
    </row>
    <row r="7" spans="1:32">
      <c r="B7" s="106">
        <v>6</v>
      </c>
      <c r="C7" s="107" t="str">
        <f t="shared" si="6"/>
        <v>月</v>
      </c>
      <c r="D7" s="108" t="str">
        <f t="shared" si="7"/>
        <v>△</v>
      </c>
      <c r="E7" s="107" t="str">
        <f t="shared" si="8"/>
        <v>水</v>
      </c>
      <c r="F7" s="108" t="str">
        <f t="shared" si="9"/>
        <v/>
      </c>
      <c r="G7" s="109" t="str">
        <f t="shared" si="10"/>
        <v>土</v>
      </c>
      <c r="H7" s="110" t="str">
        <f t="shared" si="11"/>
        <v>◇</v>
      </c>
      <c r="I7" s="107" t="str">
        <f t="shared" si="12"/>
        <v>月</v>
      </c>
      <c r="J7" s="108" t="str">
        <f t="shared" si="0"/>
        <v>○</v>
      </c>
      <c r="K7" s="107" t="str">
        <f t="shared" si="13"/>
        <v>木</v>
      </c>
      <c r="L7" s="108" t="str">
        <f t="shared" si="1"/>
        <v>▲</v>
      </c>
      <c r="M7" s="109" t="str">
        <f t="shared" si="14"/>
        <v>日</v>
      </c>
      <c r="N7" s="110" t="str">
        <f t="shared" si="2"/>
        <v/>
      </c>
      <c r="O7" s="107" t="str">
        <f t="shared" si="15"/>
        <v>火</v>
      </c>
      <c r="P7" s="108" t="str">
        <f t="shared" si="3"/>
        <v>○</v>
      </c>
      <c r="Q7" s="109" t="str">
        <f t="shared" si="16"/>
        <v>金</v>
      </c>
      <c r="R7" s="110" t="str">
        <f t="shared" si="17"/>
        <v>○</v>
      </c>
      <c r="S7" s="107" t="str">
        <f t="shared" si="18"/>
        <v>日</v>
      </c>
      <c r="T7" s="108" t="str">
        <f t="shared" si="19"/>
        <v/>
      </c>
      <c r="U7" s="109" t="str">
        <f t="shared" si="20"/>
        <v>水</v>
      </c>
      <c r="V7" s="110" t="str">
        <f t="shared" si="21"/>
        <v>△</v>
      </c>
      <c r="W7" s="107" t="str">
        <f t="shared" si="4"/>
        <v>土</v>
      </c>
      <c r="X7" s="108" t="str">
        <f t="shared" si="22"/>
        <v>◇</v>
      </c>
      <c r="Y7" s="109" t="str">
        <f t="shared" si="5"/>
        <v>土</v>
      </c>
      <c r="Z7" s="108" t="str">
        <f t="shared" si="23"/>
        <v>◇</v>
      </c>
      <c r="AA7" s="106">
        <v>6</v>
      </c>
      <c r="AC7" s="167" t="s">
        <v>23</v>
      </c>
      <c r="AD7" s="375" t="e">
        <f t="shared" si="24"/>
        <v>#VALUE!</v>
      </c>
      <c r="AE7" s="375">
        <f>ROUNDUP(SUM(入札額積算資料・見積書!$F$26)*(SUM(AI42)/$AC$42),-1)</f>
        <v>0</v>
      </c>
      <c r="AF7" s="375" t="e">
        <f>入札額積算資料・見積書!$G$26/12</f>
        <v>#VALUE!</v>
      </c>
    </row>
    <row r="8" spans="1:32">
      <c r="B8" s="106">
        <v>7</v>
      </c>
      <c r="C8" s="107" t="str">
        <f t="shared" si="6"/>
        <v>火</v>
      </c>
      <c r="D8" s="108" t="str">
        <f t="shared" si="7"/>
        <v>△</v>
      </c>
      <c r="E8" s="107" t="str">
        <f t="shared" si="8"/>
        <v>木</v>
      </c>
      <c r="F8" s="108" t="str">
        <f t="shared" si="9"/>
        <v>○</v>
      </c>
      <c r="G8" s="109" t="str">
        <f t="shared" si="10"/>
        <v>日</v>
      </c>
      <c r="H8" s="110" t="str">
        <f t="shared" si="11"/>
        <v/>
      </c>
      <c r="I8" s="107" t="str">
        <f t="shared" si="12"/>
        <v>火</v>
      </c>
      <c r="J8" s="108" t="str">
        <f t="shared" si="0"/>
        <v>○</v>
      </c>
      <c r="K8" s="107" t="str">
        <f t="shared" si="13"/>
        <v>金</v>
      </c>
      <c r="L8" s="108" t="str">
        <f t="shared" si="1"/>
        <v>▲</v>
      </c>
      <c r="M8" s="109" t="str">
        <f t="shared" si="14"/>
        <v>月</v>
      </c>
      <c r="N8" s="110" t="str">
        <f t="shared" si="2"/>
        <v>○</v>
      </c>
      <c r="O8" s="107" t="str">
        <f t="shared" si="15"/>
        <v>水</v>
      </c>
      <c r="P8" s="108" t="str">
        <f t="shared" si="3"/>
        <v>●</v>
      </c>
      <c r="Q8" s="109" t="str">
        <f t="shared" si="16"/>
        <v>土</v>
      </c>
      <c r="R8" s="110" t="str">
        <f t="shared" si="17"/>
        <v>◇</v>
      </c>
      <c r="S8" s="107" t="str">
        <f t="shared" si="18"/>
        <v>月</v>
      </c>
      <c r="T8" s="108" t="str">
        <f t="shared" si="19"/>
        <v>○</v>
      </c>
      <c r="U8" s="109" t="str">
        <f t="shared" si="20"/>
        <v>木</v>
      </c>
      <c r="V8" s="110" t="str">
        <f t="shared" si="21"/>
        <v>△</v>
      </c>
      <c r="W8" s="107" t="str">
        <f t="shared" si="4"/>
        <v>日</v>
      </c>
      <c r="X8" s="108" t="str">
        <f t="shared" si="22"/>
        <v/>
      </c>
      <c r="Y8" s="109" t="str">
        <f t="shared" si="5"/>
        <v>日</v>
      </c>
      <c r="Z8" s="108" t="str">
        <f t="shared" si="23"/>
        <v/>
      </c>
      <c r="AA8" s="106">
        <v>7</v>
      </c>
      <c r="AC8" s="167" t="s">
        <v>24</v>
      </c>
      <c r="AD8" s="375" t="e">
        <f t="shared" si="24"/>
        <v>#VALUE!</v>
      </c>
      <c r="AE8" s="375">
        <f>ROUNDUP(SUM(入札額積算資料・見積書!$F$26)*(SUM(AK42)/$AC$42),-1)</f>
        <v>0</v>
      </c>
      <c r="AF8" s="375" t="e">
        <f>入札額積算資料・見積書!$G$26/12</f>
        <v>#VALUE!</v>
      </c>
    </row>
    <row r="9" spans="1:32">
      <c r="B9" s="106">
        <v>8</v>
      </c>
      <c r="C9" s="107" t="str">
        <f t="shared" si="6"/>
        <v>水</v>
      </c>
      <c r="D9" s="108" t="str">
        <f t="shared" si="7"/>
        <v>◎</v>
      </c>
      <c r="E9" s="107" t="str">
        <f t="shared" si="8"/>
        <v>金</v>
      </c>
      <c r="F9" s="108" t="str">
        <f t="shared" si="9"/>
        <v>○</v>
      </c>
      <c r="G9" s="109" t="str">
        <f t="shared" si="10"/>
        <v>月</v>
      </c>
      <c r="H9" s="110" t="str">
        <f t="shared" si="11"/>
        <v>○</v>
      </c>
      <c r="I9" s="107" t="str">
        <f t="shared" si="12"/>
        <v>水</v>
      </c>
      <c r="J9" s="108" t="str">
        <f t="shared" si="0"/>
        <v>●</v>
      </c>
      <c r="K9" s="107" t="str">
        <f t="shared" si="13"/>
        <v>土</v>
      </c>
      <c r="L9" s="108" t="str">
        <f t="shared" si="1"/>
        <v>◇</v>
      </c>
      <c r="M9" s="109" t="str">
        <f t="shared" si="14"/>
        <v>火</v>
      </c>
      <c r="N9" s="110" t="str">
        <f t="shared" si="2"/>
        <v>○</v>
      </c>
      <c r="O9" s="107" t="str">
        <f t="shared" si="15"/>
        <v>木</v>
      </c>
      <c r="P9" s="108" t="str">
        <f t="shared" si="3"/>
        <v>○</v>
      </c>
      <c r="Q9" s="109" t="str">
        <f t="shared" si="16"/>
        <v>日</v>
      </c>
      <c r="R9" s="110" t="str">
        <f t="shared" si="17"/>
        <v/>
      </c>
      <c r="S9" s="107" t="str">
        <f t="shared" si="18"/>
        <v>火</v>
      </c>
      <c r="T9" s="108" t="str">
        <f t="shared" si="19"/>
        <v>○</v>
      </c>
      <c r="U9" s="109" t="str">
        <f t="shared" si="20"/>
        <v>金</v>
      </c>
      <c r="V9" s="110" t="str">
        <f t="shared" si="21"/>
        <v>◎</v>
      </c>
      <c r="W9" s="107" t="str">
        <f t="shared" si="4"/>
        <v>月</v>
      </c>
      <c r="X9" s="108" t="str">
        <f t="shared" si="22"/>
        <v>○</v>
      </c>
      <c r="Y9" s="109" t="str">
        <f t="shared" si="5"/>
        <v>月</v>
      </c>
      <c r="Z9" s="108" t="str">
        <f t="shared" si="23"/>
        <v>○</v>
      </c>
      <c r="AA9" s="106">
        <v>8</v>
      </c>
      <c r="AC9" s="167" t="s">
        <v>25</v>
      </c>
      <c r="AD9" s="375" t="e">
        <f t="shared" si="24"/>
        <v>#VALUE!</v>
      </c>
      <c r="AE9" s="375">
        <f>ROUNDUP(SUM(入札額積算資料・見積書!$F$26)*(SUM(AM42)/$AC$42),-1)</f>
        <v>0</v>
      </c>
      <c r="AF9" s="375" t="e">
        <f>入札額積算資料・見積書!$G$26/12</f>
        <v>#VALUE!</v>
      </c>
    </row>
    <row r="10" spans="1:32">
      <c r="B10" s="106">
        <v>9</v>
      </c>
      <c r="C10" s="107" t="str">
        <f t="shared" si="6"/>
        <v>木</v>
      </c>
      <c r="D10" s="108" t="str">
        <f t="shared" si="7"/>
        <v>◎</v>
      </c>
      <c r="E10" s="107" t="str">
        <f t="shared" si="8"/>
        <v>土</v>
      </c>
      <c r="F10" s="108" t="str">
        <f t="shared" si="9"/>
        <v>◇</v>
      </c>
      <c r="G10" s="109" t="str">
        <f t="shared" si="10"/>
        <v>火</v>
      </c>
      <c r="H10" s="110" t="str">
        <f t="shared" si="11"/>
        <v>○</v>
      </c>
      <c r="I10" s="107" t="str">
        <f t="shared" si="12"/>
        <v>木</v>
      </c>
      <c r="J10" s="108" t="str">
        <f t="shared" si="0"/>
        <v>○</v>
      </c>
      <c r="K10" s="107" t="str">
        <f t="shared" si="13"/>
        <v>日</v>
      </c>
      <c r="L10" s="108" t="str">
        <f t="shared" si="1"/>
        <v/>
      </c>
      <c r="M10" s="109" t="str">
        <f t="shared" si="14"/>
        <v>水</v>
      </c>
      <c r="N10" s="110" t="str">
        <f t="shared" si="2"/>
        <v>●</v>
      </c>
      <c r="O10" s="107" t="str">
        <f t="shared" si="15"/>
        <v>金</v>
      </c>
      <c r="P10" s="108" t="str">
        <f t="shared" si="3"/>
        <v>○</v>
      </c>
      <c r="Q10" s="109" t="str">
        <f t="shared" si="16"/>
        <v>月</v>
      </c>
      <c r="R10" s="110" t="str">
        <f t="shared" si="17"/>
        <v>○</v>
      </c>
      <c r="S10" s="107" t="str">
        <f t="shared" si="18"/>
        <v>水</v>
      </c>
      <c r="T10" s="108" t="str">
        <f t="shared" si="19"/>
        <v>●</v>
      </c>
      <c r="U10" s="109" t="str">
        <f t="shared" si="20"/>
        <v>土</v>
      </c>
      <c r="V10" s="110" t="str">
        <f t="shared" si="21"/>
        <v>◇</v>
      </c>
      <c r="W10" s="107" t="str">
        <f t="shared" si="4"/>
        <v>火</v>
      </c>
      <c r="X10" s="108" t="str">
        <f t="shared" si="22"/>
        <v>○</v>
      </c>
      <c r="Y10" s="109" t="str">
        <f t="shared" si="5"/>
        <v>火</v>
      </c>
      <c r="Z10" s="108" t="str">
        <f t="shared" si="23"/>
        <v>○</v>
      </c>
      <c r="AA10" s="106">
        <v>9</v>
      </c>
      <c r="AC10" s="167" t="s">
        <v>26</v>
      </c>
      <c r="AD10" s="375" t="e">
        <f t="shared" si="24"/>
        <v>#VALUE!</v>
      </c>
      <c r="AE10" s="375">
        <f>ROUNDUP(SUM(入札額積算資料・見積書!$F$26)*(SUM(AO42)/$AC$42),-1)</f>
        <v>0</v>
      </c>
      <c r="AF10" s="375" t="e">
        <f>入札額積算資料・見積書!$G$26/12</f>
        <v>#VALUE!</v>
      </c>
    </row>
    <row r="11" spans="1:32">
      <c r="B11" s="106">
        <v>10</v>
      </c>
      <c r="C11" s="107" t="str">
        <f t="shared" si="6"/>
        <v>金</v>
      </c>
      <c r="D11" s="108" t="str">
        <f t="shared" si="7"/>
        <v>◎</v>
      </c>
      <c r="E11" s="107" t="str">
        <f t="shared" si="8"/>
        <v>日</v>
      </c>
      <c r="F11" s="108" t="str">
        <f t="shared" si="9"/>
        <v/>
      </c>
      <c r="G11" s="109" t="str">
        <f t="shared" si="10"/>
        <v>水</v>
      </c>
      <c r="H11" s="110" t="str">
        <f t="shared" si="11"/>
        <v>●</v>
      </c>
      <c r="I11" s="107" t="str">
        <f t="shared" si="12"/>
        <v>金</v>
      </c>
      <c r="J11" s="108" t="str">
        <f t="shared" si="0"/>
        <v>○</v>
      </c>
      <c r="K11" s="107" t="str">
        <f t="shared" si="13"/>
        <v>月</v>
      </c>
      <c r="L11" s="108" t="str">
        <f t="shared" si="1"/>
        <v>▲</v>
      </c>
      <c r="M11" s="109" t="str">
        <f t="shared" si="14"/>
        <v>木</v>
      </c>
      <c r="N11" s="110" t="str">
        <f t="shared" si="2"/>
        <v>○</v>
      </c>
      <c r="O11" s="107" t="str">
        <f t="shared" si="15"/>
        <v>土</v>
      </c>
      <c r="P11" s="108" t="str">
        <f t="shared" si="3"/>
        <v>◇</v>
      </c>
      <c r="Q11" s="109" t="str">
        <f t="shared" si="16"/>
        <v>火</v>
      </c>
      <c r="R11" s="110" t="str">
        <f t="shared" si="17"/>
        <v>○</v>
      </c>
      <c r="S11" s="107" t="str">
        <f t="shared" si="18"/>
        <v>木</v>
      </c>
      <c r="T11" s="108" t="str">
        <f t="shared" si="19"/>
        <v>○</v>
      </c>
      <c r="U11" s="109" t="str">
        <f t="shared" si="20"/>
        <v>日</v>
      </c>
      <c r="V11" s="110" t="str">
        <f t="shared" si="21"/>
        <v/>
      </c>
      <c r="W11" s="107" t="str">
        <f t="shared" si="4"/>
        <v>水</v>
      </c>
      <c r="X11" s="108" t="str">
        <f t="shared" si="22"/>
        <v>●</v>
      </c>
      <c r="Y11" s="109" t="str">
        <f t="shared" si="5"/>
        <v>水</v>
      </c>
      <c r="Z11" s="108" t="str">
        <f t="shared" si="23"/>
        <v>●</v>
      </c>
      <c r="AA11" s="106">
        <v>10</v>
      </c>
      <c r="AC11" s="167" t="s">
        <v>27</v>
      </c>
      <c r="AD11" s="375" t="e">
        <f t="shared" si="24"/>
        <v>#VALUE!</v>
      </c>
      <c r="AE11" s="375">
        <f>ROUNDUP(SUM(入札額積算資料・見積書!$F$26)*(SUM(AQ42)/$AC$42),-1)</f>
        <v>0</v>
      </c>
      <c r="AF11" s="375" t="e">
        <f>入札額積算資料・見積書!$G$26/12</f>
        <v>#VALUE!</v>
      </c>
    </row>
    <row r="12" spans="1:32">
      <c r="B12" s="106">
        <v>11</v>
      </c>
      <c r="C12" s="107" t="str">
        <f t="shared" si="6"/>
        <v>土</v>
      </c>
      <c r="D12" s="108" t="str">
        <f t="shared" si="7"/>
        <v>◇</v>
      </c>
      <c r="E12" s="107" t="str">
        <f t="shared" si="8"/>
        <v>月</v>
      </c>
      <c r="F12" s="108" t="str">
        <f t="shared" si="9"/>
        <v>○</v>
      </c>
      <c r="G12" s="109" t="str">
        <f t="shared" si="10"/>
        <v>木</v>
      </c>
      <c r="H12" s="110" t="str">
        <f t="shared" si="11"/>
        <v>○</v>
      </c>
      <c r="I12" s="107" t="str">
        <f t="shared" si="12"/>
        <v>土</v>
      </c>
      <c r="J12" s="108" t="str">
        <f t="shared" si="0"/>
        <v>◇</v>
      </c>
      <c r="K12" s="107" t="str">
        <f t="shared" si="13"/>
        <v>火</v>
      </c>
      <c r="L12" s="108" t="str">
        <f t="shared" si="1"/>
        <v/>
      </c>
      <c r="M12" s="109" t="str">
        <f t="shared" si="14"/>
        <v>金</v>
      </c>
      <c r="N12" s="110" t="str">
        <f t="shared" si="2"/>
        <v>○</v>
      </c>
      <c r="O12" s="107" t="str">
        <f t="shared" si="15"/>
        <v>日</v>
      </c>
      <c r="P12" s="108" t="str">
        <f t="shared" si="3"/>
        <v/>
      </c>
      <c r="Q12" s="109" t="str">
        <f t="shared" si="16"/>
        <v>水</v>
      </c>
      <c r="R12" s="110" t="str">
        <f t="shared" si="17"/>
        <v>●</v>
      </c>
      <c r="S12" s="107" t="str">
        <f t="shared" si="18"/>
        <v>金</v>
      </c>
      <c r="T12" s="108" t="str">
        <f t="shared" si="19"/>
        <v>○</v>
      </c>
      <c r="U12" s="109" t="str">
        <f t="shared" si="20"/>
        <v>月</v>
      </c>
      <c r="V12" s="110" t="str">
        <f t="shared" si="21"/>
        <v/>
      </c>
      <c r="W12" s="107" t="str">
        <f t="shared" si="4"/>
        <v>木</v>
      </c>
      <c r="X12" s="108" t="str">
        <f t="shared" si="22"/>
        <v/>
      </c>
      <c r="Y12" s="109" t="str">
        <f t="shared" si="5"/>
        <v>木</v>
      </c>
      <c r="Z12" s="108" t="str">
        <f t="shared" si="23"/>
        <v>○</v>
      </c>
      <c r="AA12" s="106">
        <v>11</v>
      </c>
      <c r="AC12" s="167" t="s">
        <v>28</v>
      </c>
      <c r="AD12" s="375" t="e">
        <f t="shared" si="24"/>
        <v>#VALUE!</v>
      </c>
      <c r="AE12" s="375">
        <f>ROUNDUP(SUM(入札額積算資料・見積書!$F$26)*(SUM(AS42)/$AC$42),-1)</f>
        <v>0</v>
      </c>
      <c r="AF12" s="375" t="e">
        <f>入札額積算資料・見積書!$G$26/12</f>
        <v>#VALUE!</v>
      </c>
    </row>
    <row r="13" spans="1:32">
      <c r="B13" s="106">
        <v>12</v>
      </c>
      <c r="C13" s="107" t="str">
        <f t="shared" si="6"/>
        <v>日</v>
      </c>
      <c r="D13" s="108" t="str">
        <f t="shared" si="7"/>
        <v/>
      </c>
      <c r="E13" s="107" t="str">
        <f t="shared" si="8"/>
        <v>火</v>
      </c>
      <c r="F13" s="108" t="str">
        <f t="shared" si="9"/>
        <v>○</v>
      </c>
      <c r="G13" s="109" t="str">
        <f t="shared" si="10"/>
        <v>金</v>
      </c>
      <c r="H13" s="110" t="str">
        <f t="shared" si="11"/>
        <v>○</v>
      </c>
      <c r="I13" s="107" t="str">
        <f t="shared" si="12"/>
        <v>日</v>
      </c>
      <c r="J13" s="108" t="str">
        <f t="shared" si="0"/>
        <v/>
      </c>
      <c r="K13" s="107" t="str">
        <f t="shared" si="13"/>
        <v>水</v>
      </c>
      <c r="L13" s="108" t="str">
        <f t="shared" si="1"/>
        <v>▲</v>
      </c>
      <c r="M13" s="109" t="str">
        <f t="shared" si="14"/>
        <v>土</v>
      </c>
      <c r="N13" s="110" t="str">
        <f t="shared" si="2"/>
        <v>◇</v>
      </c>
      <c r="O13" s="107" t="str">
        <f t="shared" si="15"/>
        <v>月</v>
      </c>
      <c r="P13" s="108" t="str">
        <f t="shared" si="3"/>
        <v/>
      </c>
      <c r="Q13" s="109" t="str">
        <f t="shared" si="16"/>
        <v>木</v>
      </c>
      <c r="R13" s="110" t="str">
        <f t="shared" si="17"/>
        <v>○</v>
      </c>
      <c r="S13" s="107" t="str">
        <f t="shared" si="18"/>
        <v>土</v>
      </c>
      <c r="T13" s="108" t="str">
        <f t="shared" si="19"/>
        <v>◇</v>
      </c>
      <c r="U13" s="109" t="str">
        <f t="shared" si="20"/>
        <v>火</v>
      </c>
      <c r="V13" s="110" t="str">
        <f t="shared" si="21"/>
        <v>◎</v>
      </c>
      <c r="W13" s="107" t="str">
        <f t="shared" si="4"/>
        <v>金</v>
      </c>
      <c r="X13" s="108" t="str">
        <f t="shared" si="22"/>
        <v>○</v>
      </c>
      <c r="Y13" s="109" t="str">
        <f t="shared" si="5"/>
        <v>金</v>
      </c>
      <c r="Z13" s="108" t="str">
        <f t="shared" si="23"/>
        <v>○</v>
      </c>
      <c r="AA13" s="106">
        <v>12</v>
      </c>
      <c r="AC13" s="167" t="s">
        <v>29</v>
      </c>
      <c r="AD13" s="375" t="e">
        <f t="shared" si="24"/>
        <v>#VALUE!</v>
      </c>
      <c r="AE13" s="375">
        <f>ROUNDUP(SUM(入札額積算資料・見積書!$F$26)*(SUM(AU42)/$AC$42),-1)</f>
        <v>0</v>
      </c>
      <c r="AF13" s="375" t="e">
        <f>入札額積算資料・見積書!$G$26/12</f>
        <v>#VALUE!</v>
      </c>
    </row>
    <row r="14" spans="1:32">
      <c r="B14" s="106">
        <v>13</v>
      </c>
      <c r="C14" s="107" t="str">
        <f t="shared" si="6"/>
        <v>月</v>
      </c>
      <c r="D14" s="108" t="str">
        <f t="shared" si="7"/>
        <v>◎</v>
      </c>
      <c r="E14" s="107" t="str">
        <f t="shared" si="8"/>
        <v>水</v>
      </c>
      <c r="F14" s="108" t="str">
        <f t="shared" si="9"/>
        <v>●</v>
      </c>
      <c r="G14" s="109" t="str">
        <f t="shared" si="10"/>
        <v>土</v>
      </c>
      <c r="H14" s="110" t="str">
        <f t="shared" si="11"/>
        <v>◇</v>
      </c>
      <c r="I14" s="107" t="str">
        <f t="shared" si="12"/>
        <v>月</v>
      </c>
      <c r="J14" s="108" t="str">
        <f t="shared" si="0"/>
        <v>○</v>
      </c>
      <c r="K14" s="107" t="str">
        <f t="shared" si="13"/>
        <v>木</v>
      </c>
      <c r="L14" s="108" t="str">
        <f t="shared" si="1"/>
        <v>▲</v>
      </c>
      <c r="M14" s="109" t="str">
        <f t="shared" si="14"/>
        <v>日</v>
      </c>
      <c r="N14" s="110" t="str">
        <f t="shared" si="2"/>
        <v/>
      </c>
      <c r="O14" s="107" t="str">
        <f t="shared" si="15"/>
        <v>火</v>
      </c>
      <c r="P14" s="108" t="str">
        <f t="shared" si="3"/>
        <v>○</v>
      </c>
      <c r="Q14" s="109" t="str">
        <f t="shared" si="16"/>
        <v>金</v>
      </c>
      <c r="R14" s="110" t="str">
        <f t="shared" si="17"/>
        <v>○</v>
      </c>
      <c r="S14" s="107" t="str">
        <f t="shared" si="18"/>
        <v>日</v>
      </c>
      <c r="T14" s="108" t="str">
        <f t="shared" si="19"/>
        <v/>
      </c>
      <c r="U14" s="109" t="str">
        <f t="shared" si="20"/>
        <v>水</v>
      </c>
      <c r="V14" s="110" t="str">
        <f t="shared" si="21"/>
        <v>●</v>
      </c>
      <c r="W14" s="107" t="str">
        <f t="shared" si="4"/>
        <v>土</v>
      </c>
      <c r="X14" s="108" t="str">
        <f t="shared" si="22"/>
        <v>◇</v>
      </c>
      <c r="Y14" s="109" t="str">
        <f t="shared" si="5"/>
        <v>土</v>
      </c>
      <c r="Z14" s="108" t="str">
        <f t="shared" si="23"/>
        <v>◇</v>
      </c>
      <c r="AA14" s="106">
        <v>13</v>
      </c>
      <c r="AC14" s="167" t="s">
        <v>38</v>
      </c>
      <c r="AD14" s="375" t="e">
        <f t="shared" si="24"/>
        <v>#VALUE!</v>
      </c>
      <c r="AE14" s="375">
        <f>ROUNDUP(SUM(入札額積算資料・見積書!$F$26)*(SUM(AW42)/$AC$42),-1)</f>
        <v>0</v>
      </c>
      <c r="AF14" s="375" t="e">
        <f>入札額積算資料・見積書!$G$26/12</f>
        <v>#VALUE!</v>
      </c>
    </row>
    <row r="15" spans="1:32">
      <c r="B15" s="106">
        <v>14</v>
      </c>
      <c r="C15" s="107" t="str">
        <f t="shared" si="6"/>
        <v>火</v>
      </c>
      <c r="D15" s="108" t="str">
        <f t="shared" si="7"/>
        <v>◎</v>
      </c>
      <c r="E15" s="107" t="str">
        <f t="shared" si="8"/>
        <v>木</v>
      </c>
      <c r="F15" s="108" t="str">
        <f t="shared" si="9"/>
        <v>○</v>
      </c>
      <c r="G15" s="109" t="str">
        <f t="shared" si="10"/>
        <v>日</v>
      </c>
      <c r="H15" s="110" t="str">
        <f t="shared" si="11"/>
        <v/>
      </c>
      <c r="I15" s="107" t="str">
        <f t="shared" si="12"/>
        <v>火</v>
      </c>
      <c r="J15" s="108" t="str">
        <f t="shared" si="0"/>
        <v>○</v>
      </c>
      <c r="K15" s="107" t="str">
        <f t="shared" si="13"/>
        <v>金</v>
      </c>
      <c r="L15" s="108" t="str">
        <f t="shared" si="1"/>
        <v>▲</v>
      </c>
      <c r="M15" s="109" t="str">
        <f t="shared" si="14"/>
        <v>月</v>
      </c>
      <c r="N15" s="110" t="str">
        <f t="shared" si="2"/>
        <v>○</v>
      </c>
      <c r="O15" s="107" t="str">
        <f t="shared" si="15"/>
        <v>水</v>
      </c>
      <c r="P15" s="108" t="str">
        <f t="shared" si="3"/>
        <v>●</v>
      </c>
      <c r="Q15" s="109" t="str">
        <f t="shared" si="16"/>
        <v>土</v>
      </c>
      <c r="R15" s="110" t="str">
        <f t="shared" si="17"/>
        <v>◇</v>
      </c>
      <c r="S15" s="107" t="str">
        <f t="shared" si="18"/>
        <v>月</v>
      </c>
      <c r="T15" s="108" t="str">
        <f t="shared" si="19"/>
        <v>○</v>
      </c>
      <c r="U15" s="109" t="str">
        <f t="shared" si="20"/>
        <v>木</v>
      </c>
      <c r="V15" s="110" t="str">
        <f t="shared" si="21"/>
        <v>○</v>
      </c>
      <c r="W15" s="107" t="str">
        <f t="shared" si="4"/>
        <v>日</v>
      </c>
      <c r="X15" s="108" t="str">
        <f t="shared" si="22"/>
        <v/>
      </c>
      <c r="Y15" s="109" t="str">
        <f t="shared" si="5"/>
        <v>日</v>
      </c>
      <c r="Z15" s="108" t="str">
        <f t="shared" si="23"/>
        <v/>
      </c>
      <c r="AA15" s="106">
        <v>14</v>
      </c>
      <c r="AC15" s="167" t="s">
        <v>30</v>
      </c>
      <c r="AD15" s="375" t="e">
        <f t="shared" si="24"/>
        <v>#VALUE!</v>
      </c>
      <c r="AE15" s="375">
        <f>ROUNDUP(SUM(入札額積算資料・見積書!$F$26)*(SUM(AY42)/$AC$42),-1)</f>
        <v>0</v>
      </c>
      <c r="AF15" s="375" t="e">
        <f>入札額積算資料・見積書!$G$26/12</f>
        <v>#VALUE!</v>
      </c>
    </row>
    <row r="16" spans="1:32">
      <c r="B16" s="106">
        <v>15</v>
      </c>
      <c r="C16" s="107" t="str">
        <f t="shared" si="6"/>
        <v>水</v>
      </c>
      <c r="D16" s="108" t="str">
        <f t="shared" si="7"/>
        <v>◎</v>
      </c>
      <c r="E16" s="107" t="str">
        <f t="shared" si="8"/>
        <v>金</v>
      </c>
      <c r="F16" s="108" t="str">
        <f t="shared" si="9"/>
        <v>○</v>
      </c>
      <c r="G16" s="109" t="str">
        <f t="shared" si="10"/>
        <v>月</v>
      </c>
      <c r="H16" s="110" t="str">
        <f t="shared" si="11"/>
        <v>○</v>
      </c>
      <c r="I16" s="107" t="str">
        <f t="shared" si="12"/>
        <v>水</v>
      </c>
      <c r="J16" s="108" t="str">
        <f t="shared" si="0"/>
        <v>●</v>
      </c>
      <c r="K16" s="107" t="str">
        <f t="shared" si="13"/>
        <v>土</v>
      </c>
      <c r="L16" s="108" t="str">
        <f t="shared" si="1"/>
        <v>◇</v>
      </c>
      <c r="M16" s="109" t="str">
        <f t="shared" si="14"/>
        <v>火</v>
      </c>
      <c r="N16" s="110" t="str">
        <f t="shared" si="2"/>
        <v>○</v>
      </c>
      <c r="O16" s="107" t="str">
        <f t="shared" si="15"/>
        <v>木</v>
      </c>
      <c r="P16" s="108" t="str">
        <f t="shared" si="3"/>
        <v>○</v>
      </c>
      <c r="Q16" s="109" t="str">
        <f t="shared" si="16"/>
        <v>日</v>
      </c>
      <c r="R16" s="110" t="str">
        <f t="shared" si="17"/>
        <v/>
      </c>
      <c r="S16" s="107" t="str">
        <f t="shared" si="18"/>
        <v>火</v>
      </c>
      <c r="T16" s="108" t="str">
        <f t="shared" si="19"/>
        <v>○</v>
      </c>
      <c r="U16" s="109" t="str">
        <f t="shared" si="20"/>
        <v>金</v>
      </c>
      <c r="V16" s="110" t="str">
        <f t="shared" si="21"/>
        <v>○</v>
      </c>
      <c r="W16" s="107" t="str">
        <f t="shared" si="4"/>
        <v>月</v>
      </c>
      <c r="X16" s="108" t="str">
        <f t="shared" si="22"/>
        <v>○</v>
      </c>
      <c r="Y16" s="109" t="str">
        <f t="shared" si="5"/>
        <v>月</v>
      </c>
      <c r="Z16" s="108" t="str">
        <f t="shared" si="23"/>
        <v>○</v>
      </c>
      <c r="AA16" s="106">
        <v>15</v>
      </c>
      <c r="AC16" s="167" t="s">
        <v>31</v>
      </c>
      <c r="AD16" s="375" t="e">
        <f t="shared" si="24"/>
        <v>#VALUE!</v>
      </c>
      <c r="AE16" s="375">
        <f>SUM(入札額積算資料・見積書!$F$26)-SUM($AE$5:$AE$15)</f>
        <v>0</v>
      </c>
      <c r="AF16" s="375" t="e">
        <f>入札額積算資料・見積書!$G$26/12</f>
        <v>#VALUE!</v>
      </c>
    </row>
    <row r="17" spans="2:32">
      <c r="B17" s="106">
        <v>16</v>
      </c>
      <c r="C17" s="107" t="str">
        <f t="shared" si="6"/>
        <v>木</v>
      </c>
      <c r="D17" s="108" t="str">
        <f t="shared" si="7"/>
        <v>○</v>
      </c>
      <c r="E17" s="107" t="str">
        <f t="shared" si="8"/>
        <v>土</v>
      </c>
      <c r="F17" s="108" t="str">
        <f t="shared" si="9"/>
        <v>◇</v>
      </c>
      <c r="G17" s="109" t="str">
        <f t="shared" si="10"/>
        <v>火</v>
      </c>
      <c r="H17" s="110" t="str">
        <f t="shared" si="11"/>
        <v>○</v>
      </c>
      <c r="I17" s="107" t="str">
        <f t="shared" si="12"/>
        <v>木</v>
      </c>
      <c r="J17" s="108" t="str">
        <f t="shared" si="0"/>
        <v>○</v>
      </c>
      <c r="K17" s="107" t="str">
        <f t="shared" si="13"/>
        <v>日</v>
      </c>
      <c r="L17" s="108" t="str">
        <f t="shared" si="1"/>
        <v/>
      </c>
      <c r="M17" s="109" t="str">
        <f t="shared" si="14"/>
        <v>水</v>
      </c>
      <c r="N17" s="110" t="str">
        <f t="shared" si="2"/>
        <v>●</v>
      </c>
      <c r="O17" s="107" t="str">
        <f t="shared" si="15"/>
        <v>金</v>
      </c>
      <c r="P17" s="108" t="str">
        <f t="shared" si="3"/>
        <v>○</v>
      </c>
      <c r="Q17" s="109" t="str">
        <f t="shared" si="16"/>
        <v>月</v>
      </c>
      <c r="R17" s="110" t="str">
        <f t="shared" si="17"/>
        <v>○</v>
      </c>
      <c r="S17" s="107" t="str">
        <f t="shared" si="18"/>
        <v>水</v>
      </c>
      <c r="T17" s="108" t="str">
        <f t="shared" si="19"/>
        <v>●</v>
      </c>
      <c r="U17" s="109" t="str">
        <f t="shared" si="20"/>
        <v>土</v>
      </c>
      <c r="V17" s="110" t="str">
        <f t="shared" si="21"/>
        <v>◇</v>
      </c>
      <c r="W17" s="107" t="str">
        <f t="shared" si="4"/>
        <v>火</v>
      </c>
      <c r="X17" s="108" t="str">
        <f t="shared" si="22"/>
        <v>○</v>
      </c>
      <c r="Y17" s="109" t="str">
        <f t="shared" si="5"/>
        <v>火</v>
      </c>
      <c r="Z17" s="108" t="str">
        <f t="shared" si="23"/>
        <v>○</v>
      </c>
      <c r="AA17" s="106">
        <v>16</v>
      </c>
      <c r="AC17" s="167" t="s">
        <v>39</v>
      </c>
      <c r="AD17" s="375" t="e">
        <f t="shared" si="24"/>
        <v>#VALUE!</v>
      </c>
      <c r="AE17" s="375">
        <f>SUM($AE$5:$AE$16)</f>
        <v>0</v>
      </c>
      <c r="AF17" s="375" t="e">
        <f>SUM(AF5:AF16)</f>
        <v>#VALUE!</v>
      </c>
    </row>
    <row r="18" spans="2:32" ht="15" thickBot="1">
      <c r="B18" s="106">
        <v>17</v>
      </c>
      <c r="C18" s="107" t="str">
        <f t="shared" si="6"/>
        <v>金</v>
      </c>
      <c r="D18" s="108" t="str">
        <f t="shared" si="7"/>
        <v>○</v>
      </c>
      <c r="E18" s="107" t="str">
        <f t="shared" si="8"/>
        <v>日</v>
      </c>
      <c r="F18" s="108" t="str">
        <f t="shared" si="9"/>
        <v/>
      </c>
      <c r="G18" s="109" t="str">
        <f t="shared" si="10"/>
        <v>水</v>
      </c>
      <c r="H18" s="110" t="str">
        <f t="shared" si="11"/>
        <v>●</v>
      </c>
      <c r="I18" s="107" t="str">
        <f t="shared" si="12"/>
        <v>金</v>
      </c>
      <c r="J18" s="108" t="str">
        <f t="shared" si="0"/>
        <v>◎</v>
      </c>
      <c r="K18" s="107" t="str">
        <f t="shared" si="13"/>
        <v>月</v>
      </c>
      <c r="L18" s="108" t="str">
        <f t="shared" si="1"/>
        <v>▲</v>
      </c>
      <c r="M18" s="109" t="str">
        <f t="shared" si="14"/>
        <v>木</v>
      </c>
      <c r="N18" s="110" t="str">
        <f t="shared" si="2"/>
        <v>○</v>
      </c>
      <c r="O18" s="107" t="str">
        <f t="shared" si="15"/>
        <v>土</v>
      </c>
      <c r="P18" s="108" t="str">
        <f t="shared" si="3"/>
        <v>◇</v>
      </c>
      <c r="Q18" s="109" t="str">
        <f t="shared" si="16"/>
        <v>火</v>
      </c>
      <c r="R18" s="110" t="str">
        <f t="shared" si="17"/>
        <v>○</v>
      </c>
      <c r="S18" s="107" t="str">
        <f t="shared" si="18"/>
        <v>木</v>
      </c>
      <c r="T18" s="108" t="str">
        <f t="shared" si="19"/>
        <v>○</v>
      </c>
      <c r="U18" s="109" t="str">
        <f t="shared" si="20"/>
        <v>日</v>
      </c>
      <c r="V18" s="110" t="str">
        <f t="shared" si="21"/>
        <v/>
      </c>
      <c r="W18" s="107" t="str">
        <f t="shared" si="4"/>
        <v>水</v>
      </c>
      <c r="X18" s="108" t="str">
        <f t="shared" si="22"/>
        <v>●</v>
      </c>
      <c r="Y18" s="109" t="str">
        <f t="shared" si="5"/>
        <v>水</v>
      </c>
      <c r="Z18" s="108" t="str">
        <f t="shared" si="23"/>
        <v>●</v>
      </c>
      <c r="AA18" s="106">
        <v>17</v>
      </c>
    </row>
    <row r="19" spans="2:32" ht="15" thickBot="1">
      <c r="B19" s="106">
        <v>18</v>
      </c>
      <c r="C19" s="107" t="str">
        <f t="shared" si="6"/>
        <v>土</v>
      </c>
      <c r="D19" s="108" t="str">
        <f t="shared" si="7"/>
        <v>◇</v>
      </c>
      <c r="E19" s="107" t="str">
        <f t="shared" si="8"/>
        <v>月</v>
      </c>
      <c r="F19" s="108" t="str">
        <f t="shared" si="9"/>
        <v>○</v>
      </c>
      <c r="G19" s="109" t="str">
        <f t="shared" si="10"/>
        <v>木</v>
      </c>
      <c r="H19" s="110" t="str">
        <f t="shared" si="11"/>
        <v>○</v>
      </c>
      <c r="I19" s="107" t="str">
        <f t="shared" si="12"/>
        <v>土</v>
      </c>
      <c r="J19" s="108" t="str">
        <f t="shared" si="0"/>
        <v>◇</v>
      </c>
      <c r="K19" s="107" t="str">
        <f t="shared" si="13"/>
        <v>火</v>
      </c>
      <c r="L19" s="108" t="str">
        <f t="shared" si="1"/>
        <v>▲</v>
      </c>
      <c r="M19" s="109" t="str">
        <f t="shared" si="14"/>
        <v>金</v>
      </c>
      <c r="N19" s="110" t="str">
        <f t="shared" si="2"/>
        <v>○</v>
      </c>
      <c r="O19" s="107" t="str">
        <f t="shared" si="15"/>
        <v>日</v>
      </c>
      <c r="P19" s="108" t="str">
        <f t="shared" si="3"/>
        <v/>
      </c>
      <c r="Q19" s="109" t="str">
        <f t="shared" si="16"/>
        <v>水</v>
      </c>
      <c r="R19" s="110" t="str">
        <f t="shared" si="17"/>
        <v>●</v>
      </c>
      <c r="S19" s="107" t="str">
        <f t="shared" si="18"/>
        <v>金</v>
      </c>
      <c r="T19" s="108" t="str">
        <f t="shared" si="19"/>
        <v>○</v>
      </c>
      <c r="U19" s="109" t="str">
        <f t="shared" si="20"/>
        <v>月</v>
      </c>
      <c r="V19" s="110" t="str">
        <f t="shared" si="21"/>
        <v>○</v>
      </c>
      <c r="W19" s="107" t="str">
        <f t="shared" si="4"/>
        <v>木</v>
      </c>
      <c r="X19" s="108" t="str">
        <f t="shared" si="22"/>
        <v>○</v>
      </c>
      <c r="Y19" s="109" t="str">
        <f t="shared" si="5"/>
        <v>木</v>
      </c>
      <c r="Z19" s="108" t="str">
        <f t="shared" si="23"/>
        <v>○</v>
      </c>
      <c r="AA19" s="106">
        <v>18</v>
      </c>
      <c r="AC19" s="193" t="s">
        <v>97</v>
      </c>
      <c r="AD19" s="173">
        <f>SUM(AD20:AD21)</f>
        <v>2251</v>
      </c>
      <c r="AE19" s="172" t="s">
        <v>94</v>
      </c>
      <c r="AF19" s="174">
        <f>SUM(AF20:AF21)</f>
        <v>292</v>
      </c>
    </row>
    <row r="20" spans="2:32" ht="15" thickTop="1">
      <c r="B20" s="106">
        <v>19</v>
      </c>
      <c r="C20" s="107" t="str">
        <f t="shared" si="6"/>
        <v>日</v>
      </c>
      <c r="D20" s="108" t="str">
        <f t="shared" si="7"/>
        <v/>
      </c>
      <c r="E20" s="107" t="str">
        <f t="shared" si="8"/>
        <v>火</v>
      </c>
      <c r="F20" s="108" t="str">
        <f t="shared" si="9"/>
        <v>○</v>
      </c>
      <c r="G20" s="109" t="str">
        <f t="shared" si="10"/>
        <v>金</v>
      </c>
      <c r="H20" s="110" t="str">
        <f t="shared" si="11"/>
        <v>○</v>
      </c>
      <c r="I20" s="107" t="str">
        <f t="shared" si="12"/>
        <v>日</v>
      </c>
      <c r="J20" s="108" t="str">
        <f t="shared" si="0"/>
        <v/>
      </c>
      <c r="K20" s="107" t="str">
        <f t="shared" si="13"/>
        <v>水</v>
      </c>
      <c r="L20" s="108" t="str">
        <f t="shared" si="1"/>
        <v>▲</v>
      </c>
      <c r="M20" s="109" t="str">
        <f t="shared" si="14"/>
        <v>土</v>
      </c>
      <c r="N20" s="110" t="str">
        <f t="shared" si="2"/>
        <v>◇</v>
      </c>
      <c r="O20" s="107" t="str">
        <f t="shared" si="15"/>
        <v>月</v>
      </c>
      <c r="P20" s="108" t="str">
        <f t="shared" si="3"/>
        <v>○</v>
      </c>
      <c r="Q20" s="109" t="str">
        <f t="shared" si="16"/>
        <v>木</v>
      </c>
      <c r="R20" s="110" t="str">
        <f t="shared" si="17"/>
        <v>○</v>
      </c>
      <c r="S20" s="107" t="str">
        <f t="shared" si="18"/>
        <v>土</v>
      </c>
      <c r="T20" s="108" t="str">
        <f t="shared" si="19"/>
        <v>◇</v>
      </c>
      <c r="U20" s="109" t="str">
        <f t="shared" si="20"/>
        <v>火</v>
      </c>
      <c r="V20" s="110" t="str">
        <f t="shared" si="21"/>
        <v>○</v>
      </c>
      <c r="W20" s="107" t="str">
        <f t="shared" si="4"/>
        <v>金</v>
      </c>
      <c r="X20" s="108" t="str">
        <f t="shared" si="22"/>
        <v>○</v>
      </c>
      <c r="Y20" s="109" t="str">
        <f t="shared" si="5"/>
        <v>金</v>
      </c>
      <c r="Z20" s="108" t="str">
        <f t="shared" si="23"/>
        <v>◎</v>
      </c>
      <c r="AA20" s="106">
        <v>19</v>
      </c>
      <c r="AC20" s="170" t="s">
        <v>95</v>
      </c>
      <c r="AD20" s="191">
        <f>SUM(AE43,AG43,AI43,AK43,AM43,AO43,AQ43,AS43,AU43,AW43,AY43,BA43)</f>
        <v>1159</v>
      </c>
      <c r="AE20" s="170" t="s">
        <v>95</v>
      </c>
      <c r="AF20" s="171">
        <f>SUM(AA35:AA37)</f>
        <v>201</v>
      </c>
    </row>
    <row r="21" spans="2:32" ht="15" thickBot="1">
      <c r="B21" s="106">
        <v>20</v>
      </c>
      <c r="C21" s="107" t="str">
        <f t="shared" si="6"/>
        <v>月</v>
      </c>
      <c r="D21" s="108" t="str">
        <f t="shared" si="7"/>
        <v>○</v>
      </c>
      <c r="E21" s="107" t="str">
        <f t="shared" si="8"/>
        <v>水</v>
      </c>
      <c r="F21" s="108" t="str">
        <f t="shared" si="9"/>
        <v>●</v>
      </c>
      <c r="G21" s="109" t="str">
        <f t="shared" si="10"/>
        <v>土</v>
      </c>
      <c r="H21" s="110" t="str">
        <f t="shared" si="11"/>
        <v>◇</v>
      </c>
      <c r="I21" s="107" t="str">
        <f t="shared" si="12"/>
        <v>月</v>
      </c>
      <c r="J21" s="108" t="str">
        <f t="shared" si="0"/>
        <v/>
      </c>
      <c r="K21" s="107" t="str">
        <f t="shared" si="13"/>
        <v>木</v>
      </c>
      <c r="L21" s="108" t="str">
        <f t="shared" si="1"/>
        <v>▲</v>
      </c>
      <c r="M21" s="109" t="str">
        <f t="shared" si="14"/>
        <v>日</v>
      </c>
      <c r="N21" s="110" t="str">
        <f t="shared" si="2"/>
        <v/>
      </c>
      <c r="O21" s="107" t="str">
        <f t="shared" si="15"/>
        <v>火</v>
      </c>
      <c r="P21" s="108" t="str">
        <f t="shared" si="3"/>
        <v>○</v>
      </c>
      <c r="Q21" s="109" t="str">
        <f t="shared" si="16"/>
        <v>金</v>
      </c>
      <c r="R21" s="110" t="str">
        <f t="shared" si="17"/>
        <v>○</v>
      </c>
      <c r="S21" s="107" t="str">
        <f t="shared" si="18"/>
        <v>日</v>
      </c>
      <c r="T21" s="108" t="str">
        <f t="shared" si="19"/>
        <v/>
      </c>
      <c r="U21" s="109" t="str">
        <f t="shared" si="20"/>
        <v>水</v>
      </c>
      <c r="V21" s="110" t="str">
        <f t="shared" si="21"/>
        <v>●</v>
      </c>
      <c r="W21" s="107" t="str">
        <f t="shared" si="4"/>
        <v>土</v>
      </c>
      <c r="X21" s="108" t="str">
        <f t="shared" si="22"/>
        <v>◇</v>
      </c>
      <c r="Y21" s="109" t="str">
        <f t="shared" si="5"/>
        <v>土</v>
      </c>
      <c r="Z21" s="108" t="str">
        <f t="shared" si="23"/>
        <v>◇</v>
      </c>
      <c r="AA21" s="106">
        <v>20</v>
      </c>
      <c r="AC21" s="168" t="s">
        <v>96</v>
      </c>
      <c r="AD21" s="192">
        <f>SUM(AE44,AG44,AI44,AK44,AM44,AO44,AQ44,AS44,AU44,AW44,AY44,BA44)</f>
        <v>1092</v>
      </c>
      <c r="AE21" s="168" t="s">
        <v>96</v>
      </c>
      <c r="AF21" s="169">
        <f>SUM(AA38:AA40)</f>
        <v>91</v>
      </c>
    </row>
    <row r="22" spans="2:32">
      <c r="B22" s="106">
        <v>21</v>
      </c>
      <c r="C22" s="107" t="str">
        <f t="shared" si="6"/>
        <v>火</v>
      </c>
      <c r="D22" s="108" t="str">
        <f t="shared" si="7"/>
        <v>○</v>
      </c>
      <c r="E22" s="107" t="str">
        <f t="shared" si="8"/>
        <v>木</v>
      </c>
      <c r="F22" s="108" t="str">
        <f t="shared" si="9"/>
        <v>○</v>
      </c>
      <c r="G22" s="109" t="str">
        <f t="shared" si="10"/>
        <v>日</v>
      </c>
      <c r="H22" s="110" t="str">
        <f t="shared" si="11"/>
        <v/>
      </c>
      <c r="I22" s="107" t="str">
        <f t="shared" si="12"/>
        <v>火</v>
      </c>
      <c r="J22" s="108" t="str">
        <f t="shared" si="0"/>
        <v>▲</v>
      </c>
      <c r="K22" s="107" t="str">
        <f t="shared" si="13"/>
        <v>金</v>
      </c>
      <c r="L22" s="108" t="str">
        <f t="shared" si="1"/>
        <v>▲</v>
      </c>
      <c r="M22" s="109" t="str">
        <f t="shared" si="14"/>
        <v>月</v>
      </c>
      <c r="N22" s="110" t="str">
        <f t="shared" si="2"/>
        <v/>
      </c>
      <c r="O22" s="107" t="str">
        <f t="shared" si="15"/>
        <v>水</v>
      </c>
      <c r="P22" s="108" t="str">
        <f t="shared" si="3"/>
        <v>●</v>
      </c>
      <c r="Q22" s="109" t="str">
        <f t="shared" si="16"/>
        <v>土</v>
      </c>
      <c r="R22" s="110" t="str">
        <f t="shared" si="17"/>
        <v>◇</v>
      </c>
      <c r="S22" s="107" t="str">
        <f t="shared" si="18"/>
        <v>月</v>
      </c>
      <c r="T22" s="108" t="str">
        <f t="shared" si="19"/>
        <v>○</v>
      </c>
      <c r="U22" s="109" t="str">
        <f t="shared" si="20"/>
        <v>木</v>
      </c>
      <c r="V22" s="110" t="str">
        <f t="shared" si="21"/>
        <v>○</v>
      </c>
      <c r="W22" s="107" t="str">
        <f t="shared" si="4"/>
        <v>日</v>
      </c>
      <c r="X22" s="108" t="str">
        <f t="shared" si="22"/>
        <v/>
      </c>
      <c r="Y22" s="109" t="str">
        <f t="shared" si="5"/>
        <v>日</v>
      </c>
      <c r="Z22" s="108" t="str">
        <f t="shared" si="23"/>
        <v/>
      </c>
      <c r="AA22" s="106">
        <v>21</v>
      </c>
    </row>
    <row r="23" spans="2:32">
      <c r="B23" s="106">
        <v>22</v>
      </c>
      <c r="C23" s="107" t="str">
        <f t="shared" si="6"/>
        <v>水</v>
      </c>
      <c r="D23" s="108" t="str">
        <f t="shared" si="7"/>
        <v>●</v>
      </c>
      <c r="E23" s="107" t="str">
        <f t="shared" si="8"/>
        <v>金</v>
      </c>
      <c r="F23" s="108" t="str">
        <f t="shared" si="9"/>
        <v>○</v>
      </c>
      <c r="G23" s="109" t="str">
        <f t="shared" si="10"/>
        <v>月</v>
      </c>
      <c r="H23" s="110" t="str">
        <f t="shared" si="11"/>
        <v>○</v>
      </c>
      <c r="I23" s="107" t="str">
        <f t="shared" si="12"/>
        <v>水</v>
      </c>
      <c r="J23" s="108" t="str">
        <f t="shared" si="0"/>
        <v>▲</v>
      </c>
      <c r="K23" s="107" t="str">
        <f t="shared" si="13"/>
        <v>土</v>
      </c>
      <c r="L23" s="108" t="str">
        <f t="shared" si="1"/>
        <v>◇</v>
      </c>
      <c r="M23" s="109" t="str">
        <f t="shared" si="14"/>
        <v>火</v>
      </c>
      <c r="N23" s="110" t="str">
        <f t="shared" si="2"/>
        <v/>
      </c>
      <c r="O23" s="107" t="str">
        <f t="shared" si="15"/>
        <v>木</v>
      </c>
      <c r="P23" s="108" t="str">
        <f t="shared" si="3"/>
        <v>○</v>
      </c>
      <c r="Q23" s="109" t="str">
        <f t="shared" si="16"/>
        <v>日</v>
      </c>
      <c r="R23" s="110" t="str">
        <f t="shared" si="17"/>
        <v/>
      </c>
      <c r="S23" s="107" t="str">
        <f t="shared" si="18"/>
        <v>火</v>
      </c>
      <c r="T23" s="108" t="str">
        <f t="shared" si="19"/>
        <v>○</v>
      </c>
      <c r="U23" s="109" t="str">
        <f t="shared" si="20"/>
        <v>金</v>
      </c>
      <c r="V23" s="110" t="str">
        <f t="shared" si="21"/>
        <v>○</v>
      </c>
      <c r="W23" s="107" t="str">
        <f t="shared" si="4"/>
        <v>月</v>
      </c>
      <c r="X23" s="108" t="str">
        <f t="shared" si="22"/>
        <v>○</v>
      </c>
      <c r="Y23" s="109" t="str">
        <f t="shared" si="5"/>
        <v>月</v>
      </c>
      <c r="Z23" s="108" t="str">
        <f t="shared" si="23"/>
        <v/>
      </c>
      <c r="AA23" s="106">
        <v>22</v>
      </c>
    </row>
    <row r="24" spans="2:32">
      <c r="B24" s="106">
        <v>23</v>
      </c>
      <c r="C24" s="107" t="str">
        <f t="shared" si="6"/>
        <v>木</v>
      </c>
      <c r="D24" s="108" t="str">
        <f t="shared" si="7"/>
        <v>○</v>
      </c>
      <c r="E24" s="107" t="str">
        <f t="shared" si="8"/>
        <v>土</v>
      </c>
      <c r="F24" s="108" t="str">
        <f t="shared" si="9"/>
        <v>◇</v>
      </c>
      <c r="G24" s="109" t="str">
        <f t="shared" si="10"/>
        <v>火</v>
      </c>
      <c r="H24" s="110" t="str">
        <f t="shared" si="11"/>
        <v>○</v>
      </c>
      <c r="I24" s="107" t="str">
        <f t="shared" si="12"/>
        <v>木</v>
      </c>
      <c r="J24" s="108" t="str">
        <f t="shared" si="0"/>
        <v>▲</v>
      </c>
      <c r="K24" s="107" t="str">
        <f t="shared" si="13"/>
        <v>日</v>
      </c>
      <c r="L24" s="108" t="str">
        <f t="shared" si="1"/>
        <v/>
      </c>
      <c r="M24" s="109" t="str">
        <f t="shared" si="14"/>
        <v>水</v>
      </c>
      <c r="N24" s="110" t="str">
        <f t="shared" si="2"/>
        <v/>
      </c>
      <c r="O24" s="107" t="str">
        <f t="shared" si="15"/>
        <v>金</v>
      </c>
      <c r="P24" s="108" t="str">
        <f t="shared" si="3"/>
        <v>○</v>
      </c>
      <c r="Q24" s="109" t="str">
        <f t="shared" si="16"/>
        <v>月</v>
      </c>
      <c r="R24" s="110" t="str">
        <f t="shared" si="17"/>
        <v/>
      </c>
      <c r="S24" s="107" t="str">
        <f t="shared" si="18"/>
        <v>水</v>
      </c>
      <c r="T24" s="108" t="str">
        <f t="shared" si="19"/>
        <v>●</v>
      </c>
      <c r="U24" s="109" t="str">
        <f t="shared" si="20"/>
        <v>土</v>
      </c>
      <c r="V24" s="110" t="str">
        <f t="shared" si="21"/>
        <v>◇</v>
      </c>
      <c r="W24" s="107" t="str">
        <f t="shared" si="4"/>
        <v>火</v>
      </c>
      <c r="X24" s="108" t="str">
        <f t="shared" si="22"/>
        <v/>
      </c>
      <c r="Y24" s="109" t="str">
        <f t="shared" si="5"/>
        <v>火</v>
      </c>
      <c r="Z24" s="108" t="str">
        <f t="shared" si="23"/>
        <v>○</v>
      </c>
      <c r="AA24" s="106">
        <v>23</v>
      </c>
    </row>
    <row r="25" spans="2:32">
      <c r="B25" s="106">
        <v>24</v>
      </c>
      <c r="C25" s="107" t="str">
        <f t="shared" si="6"/>
        <v>金</v>
      </c>
      <c r="D25" s="108" t="str">
        <f t="shared" si="7"/>
        <v>○</v>
      </c>
      <c r="E25" s="107" t="str">
        <f t="shared" si="8"/>
        <v>日</v>
      </c>
      <c r="F25" s="108" t="str">
        <f t="shared" si="9"/>
        <v/>
      </c>
      <c r="G25" s="109" t="str">
        <f t="shared" si="10"/>
        <v>水</v>
      </c>
      <c r="H25" s="110" t="str">
        <f t="shared" si="11"/>
        <v>●</v>
      </c>
      <c r="I25" s="107" t="str">
        <f t="shared" si="12"/>
        <v>金</v>
      </c>
      <c r="J25" s="108" t="str">
        <f t="shared" si="0"/>
        <v>▲</v>
      </c>
      <c r="K25" s="107" t="str">
        <f t="shared" si="13"/>
        <v>月</v>
      </c>
      <c r="L25" s="108" t="str">
        <f t="shared" si="1"/>
        <v>▲</v>
      </c>
      <c r="M25" s="109" t="str">
        <f t="shared" si="14"/>
        <v>木</v>
      </c>
      <c r="N25" s="110" t="str">
        <f t="shared" si="2"/>
        <v>○</v>
      </c>
      <c r="O25" s="107" t="str">
        <f t="shared" si="15"/>
        <v>土</v>
      </c>
      <c r="P25" s="108" t="str">
        <f t="shared" si="3"/>
        <v>◇</v>
      </c>
      <c r="Q25" s="109" t="str">
        <f t="shared" si="16"/>
        <v>火</v>
      </c>
      <c r="R25" s="110" t="str">
        <f t="shared" si="17"/>
        <v>○</v>
      </c>
      <c r="S25" s="107" t="str">
        <f t="shared" si="18"/>
        <v>木</v>
      </c>
      <c r="T25" s="108" t="str">
        <f t="shared" si="19"/>
        <v>◎</v>
      </c>
      <c r="U25" s="109" t="str">
        <f t="shared" si="20"/>
        <v>日</v>
      </c>
      <c r="V25" s="110" t="str">
        <f t="shared" si="21"/>
        <v/>
      </c>
      <c r="W25" s="107" t="str">
        <f t="shared" si="4"/>
        <v>水</v>
      </c>
      <c r="X25" s="108" t="str">
        <f t="shared" si="22"/>
        <v>●</v>
      </c>
      <c r="Y25" s="109" t="str">
        <f t="shared" si="5"/>
        <v>水</v>
      </c>
      <c r="Z25" s="108" t="str">
        <f t="shared" si="23"/>
        <v>◎</v>
      </c>
      <c r="AA25" s="106">
        <v>24</v>
      </c>
    </row>
    <row r="26" spans="2:32">
      <c r="B26" s="106">
        <v>25</v>
      </c>
      <c r="C26" s="107" t="str">
        <f t="shared" si="6"/>
        <v>土</v>
      </c>
      <c r="D26" s="108" t="str">
        <f t="shared" si="7"/>
        <v>◇</v>
      </c>
      <c r="E26" s="107" t="str">
        <f t="shared" si="8"/>
        <v>月</v>
      </c>
      <c r="F26" s="108" t="str">
        <f t="shared" si="9"/>
        <v>○</v>
      </c>
      <c r="G26" s="109" t="str">
        <f t="shared" si="10"/>
        <v>木</v>
      </c>
      <c r="H26" s="110" t="str">
        <f t="shared" si="11"/>
        <v>○</v>
      </c>
      <c r="I26" s="107" t="str">
        <f t="shared" si="12"/>
        <v>土</v>
      </c>
      <c r="J26" s="108" t="str">
        <f t="shared" si="0"/>
        <v>◇</v>
      </c>
      <c r="K26" s="107" t="str">
        <f t="shared" si="13"/>
        <v>火</v>
      </c>
      <c r="L26" s="108" t="str">
        <f t="shared" si="1"/>
        <v>◎</v>
      </c>
      <c r="M26" s="109" t="str">
        <f t="shared" si="14"/>
        <v>金</v>
      </c>
      <c r="N26" s="110" t="str">
        <f t="shared" si="2"/>
        <v>○</v>
      </c>
      <c r="O26" s="107" t="str">
        <f t="shared" si="15"/>
        <v>日</v>
      </c>
      <c r="P26" s="108" t="str">
        <f t="shared" si="3"/>
        <v/>
      </c>
      <c r="Q26" s="109" t="str">
        <f t="shared" si="16"/>
        <v>水</v>
      </c>
      <c r="R26" s="110" t="str">
        <f t="shared" si="17"/>
        <v>●</v>
      </c>
      <c r="S26" s="107" t="str">
        <f t="shared" si="18"/>
        <v>金</v>
      </c>
      <c r="T26" s="108" t="str">
        <f t="shared" si="19"/>
        <v>△</v>
      </c>
      <c r="U26" s="109" t="str">
        <f t="shared" si="20"/>
        <v>月</v>
      </c>
      <c r="V26" s="110" t="str">
        <f t="shared" si="21"/>
        <v>○</v>
      </c>
      <c r="W26" s="107" t="str">
        <f t="shared" si="4"/>
        <v>木</v>
      </c>
      <c r="X26" s="108" t="str">
        <f t="shared" si="22"/>
        <v>○</v>
      </c>
      <c r="Y26" s="109" t="str">
        <f t="shared" si="5"/>
        <v>木</v>
      </c>
      <c r="Z26" s="108" t="str">
        <f t="shared" si="23"/>
        <v>△</v>
      </c>
      <c r="AA26" s="106">
        <v>25</v>
      </c>
    </row>
    <row r="27" spans="2:32">
      <c r="B27" s="106">
        <v>26</v>
      </c>
      <c r="C27" s="107" t="str">
        <f t="shared" si="6"/>
        <v>日</v>
      </c>
      <c r="D27" s="108" t="str">
        <f t="shared" si="7"/>
        <v/>
      </c>
      <c r="E27" s="107" t="str">
        <f t="shared" si="8"/>
        <v>火</v>
      </c>
      <c r="F27" s="108" t="str">
        <f t="shared" si="9"/>
        <v>○</v>
      </c>
      <c r="G27" s="109" t="str">
        <f t="shared" si="10"/>
        <v>金</v>
      </c>
      <c r="H27" s="110" t="str">
        <f t="shared" si="11"/>
        <v>○</v>
      </c>
      <c r="I27" s="107" t="str">
        <f t="shared" si="12"/>
        <v>日</v>
      </c>
      <c r="J27" s="108" t="str">
        <f t="shared" si="0"/>
        <v/>
      </c>
      <c r="K27" s="107" t="str">
        <f t="shared" si="13"/>
        <v>水</v>
      </c>
      <c r="L27" s="108" t="str">
        <f t="shared" si="1"/>
        <v>◎</v>
      </c>
      <c r="M27" s="109" t="str">
        <f t="shared" si="14"/>
        <v>土</v>
      </c>
      <c r="N27" s="110" t="str">
        <f t="shared" si="2"/>
        <v>◇</v>
      </c>
      <c r="O27" s="107" t="str">
        <f t="shared" si="15"/>
        <v>月</v>
      </c>
      <c r="P27" s="108" t="str">
        <f t="shared" si="3"/>
        <v>○</v>
      </c>
      <c r="Q27" s="109" t="str">
        <f t="shared" si="16"/>
        <v>木</v>
      </c>
      <c r="R27" s="110" t="str">
        <f t="shared" si="17"/>
        <v>○</v>
      </c>
      <c r="S27" s="107" t="str">
        <f t="shared" si="18"/>
        <v>土</v>
      </c>
      <c r="T27" s="108" t="str">
        <f t="shared" si="19"/>
        <v>◇</v>
      </c>
      <c r="U27" s="109" t="str">
        <f t="shared" si="20"/>
        <v>火</v>
      </c>
      <c r="V27" s="110" t="str">
        <f t="shared" si="21"/>
        <v>○</v>
      </c>
      <c r="W27" s="107" t="str">
        <f t="shared" si="4"/>
        <v>金</v>
      </c>
      <c r="X27" s="108" t="str">
        <f t="shared" si="22"/>
        <v>○</v>
      </c>
      <c r="Y27" s="109" t="str">
        <f t="shared" si="5"/>
        <v>金</v>
      </c>
      <c r="Z27" s="108" t="str">
        <f t="shared" si="23"/>
        <v>△</v>
      </c>
      <c r="AA27" s="106">
        <v>26</v>
      </c>
    </row>
    <row r="28" spans="2:32">
      <c r="B28" s="106">
        <v>27</v>
      </c>
      <c r="C28" s="107" t="str">
        <f t="shared" si="6"/>
        <v>月</v>
      </c>
      <c r="D28" s="108" t="str">
        <f t="shared" si="7"/>
        <v>○</v>
      </c>
      <c r="E28" s="107" t="str">
        <f t="shared" si="8"/>
        <v>水</v>
      </c>
      <c r="F28" s="108" t="str">
        <f t="shared" si="9"/>
        <v>●</v>
      </c>
      <c r="G28" s="109" t="str">
        <f t="shared" si="10"/>
        <v>土</v>
      </c>
      <c r="H28" s="110" t="str">
        <f t="shared" si="11"/>
        <v>◇</v>
      </c>
      <c r="I28" s="107" t="str">
        <f t="shared" si="12"/>
        <v>月</v>
      </c>
      <c r="J28" s="108" t="str">
        <f t="shared" si="0"/>
        <v>▲</v>
      </c>
      <c r="K28" s="107" t="str">
        <f t="shared" si="13"/>
        <v>木</v>
      </c>
      <c r="L28" s="108" t="str">
        <f t="shared" si="1"/>
        <v>○</v>
      </c>
      <c r="M28" s="109" t="str">
        <f t="shared" si="14"/>
        <v>日</v>
      </c>
      <c r="N28" s="110" t="str">
        <f t="shared" si="2"/>
        <v/>
      </c>
      <c r="O28" s="107" t="str">
        <f t="shared" si="15"/>
        <v>火</v>
      </c>
      <c r="P28" s="108" t="str">
        <f t="shared" si="3"/>
        <v>○</v>
      </c>
      <c r="Q28" s="109" t="str">
        <f t="shared" si="16"/>
        <v>金</v>
      </c>
      <c r="R28" s="110" t="str">
        <f t="shared" si="17"/>
        <v>○</v>
      </c>
      <c r="S28" s="107" t="str">
        <f t="shared" si="18"/>
        <v>日</v>
      </c>
      <c r="T28" s="108" t="str">
        <f t="shared" si="19"/>
        <v/>
      </c>
      <c r="U28" s="109" t="str">
        <f t="shared" si="20"/>
        <v>水</v>
      </c>
      <c r="V28" s="110" t="str">
        <f t="shared" si="21"/>
        <v>●</v>
      </c>
      <c r="W28" s="107" t="str">
        <f t="shared" si="4"/>
        <v>土</v>
      </c>
      <c r="X28" s="108" t="str">
        <f t="shared" si="22"/>
        <v>◇</v>
      </c>
      <c r="Y28" s="109" t="str">
        <f t="shared" si="5"/>
        <v>土</v>
      </c>
      <c r="Z28" s="108" t="str">
        <f t="shared" si="23"/>
        <v>◇</v>
      </c>
      <c r="AA28" s="106">
        <v>27</v>
      </c>
    </row>
    <row r="29" spans="2:32">
      <c r="B29" s="106">
        <v>28</v>
      </c>
      <c r="C29" s="107" t="str">
        <f t="shared" si="6"/>
        <v>火</v>
      </c>
      <c r="D29" s="108" t="str">
        <f t="shared" si="7"/>
        <v>○</v>
      </c>
      <c r="E29" s="107" t="str">
        <f t="shared" si="8"/>
        <v>木</v>
      </c>
      <c r="F29" s="108" t="str">
        <f t="shared" si="9"/>
        <v>○</v>
      </c>
      <c r="G29" s="109" t="str">
        <f t="shared" si="10"/>
        <v>日</v>
      </c>
      <c r="H29" s="110" t="str">
        <f t="shared" si="11"/>
        <v/>
      </c>
      <c r="I29" s="107" t="str">
        <f t="shared" si="12"/>
        <v>火</v>
      </c>
      <c r="J29" s="108" t="str">
        <f t="shared" si="0"/>
        <v>▲</v>
      </c>
      <c r="K29" s="107" t="str">
        <f t="shared" si="13"/>
        <v>金</v>
      </c>
      <c r="L29" s="108" t="str">
        <f t="shared" si="1"/>
        <v>○</v>
      </c>
      <c r="M29" s="109" t="str">
        <f t="shared" si="14"/>
        <v>月</v>
      </c>
      <c r="N29" s="110" t="str">
        <f t="shared" si="2"/>
        <v>○</v>
      </c>
      <c r="O29" s="107" t="str">
        <f t="shared" si="15"/>
        <v>水</v>
      </c>
      <c r="P29" s="108" t="str">
        <f t="shared" si="3"/>
        <v>●</v>
      </c>
      <c r="Q29" s="109" t="str">
        <f t="shared" si="16"/>
        <v>土</v>
      </c>
      <c r="R29" s="110" t="str">
        <f t="shared" si="17"/>
        <v>◇</v>
      </c>
      <c r="S29" s="107" t="str">
        <f t="shared" si="18"/>
        <v>月</v>
      </c>
      <c r="T29" s="108" t="str">
        <f t="shared" si="19"/>
        <v>△</v>
      </c>
      <c r="U29" s="109" t="str">
        <f t="shared" si="20"/>
        <v>木</v>
      </c>
      <c r="V29" s="110" t="str">
        <f t="shared" si="21"/>
        <v>○</v>
      </c>
      <c r="W29" s="107" t="str">
        <f t="shared" si="4"/>
        <v>日</v>
      </c>
      <c r="X29" s="108" t="str">
        <f t="shared" si="22"/>
        <v/>
      </c>
      <c r="Y29" s="109" t="str">
        <f t="shared" si="5"/>
        <v>日</v>
      </c>
      <c r="Z29" s="108" t="str">
        <f t="shared" si="23"/>
        <v/>
      </c>
      <c r="AA29" s="106">
        <v>28</v>
      </c>
    </row>
    <row r="30" spans="2:32">
      <c r="B30" s="106">
        <v>29</v>
      </c>
      <c r="C30" s="107" t="str">
        <f t="shared" si="6"/>
        <v>水</v>
      </c>
      <c r="D30" s="108" t="str">
        <f t="shared" si="7"/>
        <v/>
      </c>
      <c r="E30" s="107" t="str">
        <f t="shared" si="8"/>
        <v>金</v>
      </c>
      <c r="F30" s="108" t="str">
        <f t="shared" si="9"/>
        <v>○</v>
      </c>
      <c r="G30" s="109" t="str">
        <f t="shared" si="10"/>
        <v>月</v>
      </c>
      <c r="H30" s="110" t="str">
        <f t="shared" si="11"/>
        <v>○</v>
      </c>
      <c r="I30" s="107" t="str">
        <f t="shared" si="12"/>
        <v>水</v>
      </c>
      <c r="J30" s="108" t="str">
        <f t="shared" si="0"/>
        <v>▲</v>
      </c>
      <c r="K30" s="107" t="str">
        <f t="shared" si="13"/>
        <v>土</v>
      </c>
      <c r="L30" s="108" t="str">
        <f t="shared" si="1"/>
        <v>◇</v>
      </c>
      <c r="M30" s="109" t="str">
        <f t="shared" si="14"/>
        <v>火</v>
      </c>
      <c r="N30" s="110" t="str">
        <f t="shared" si="2"/>
        <v>○</v>
      </c>
      <c r="O30" s="107" t="str">
        <f t="shared" si="15"/>
        <v>木</v>
      </c>
      <c r="P30" s="108" t="str">
        <f t="shared" si="3"/>
        <v>○</v>
      </c>
      <c r="Q30" s="109" t="str">
        <f t="shared" si="16"/>
        <v>日</v>
      </c>
      <c r="R30" s="110" t="str">
        <f t="shared" si="17"/>
        <v/>
      </c>
      <c r="S30" s="107" t="str">
        <f t="shared" si="18"/>
        <v>火</v>
      </c>
      <c r="T30" s="108" t="str">
        <f t="shared" si="19"/>
        <v/>
      </c>
      <c r="U30" s="109" t="str">
        <f t="shared" si="20"/>
        <v>金</v>
      </c>
      <c r="V30" s="110" t="str">
        <f t="shared" si="21"/>
        <v>○</v>
      </c>
      <c r="W30" s="107" t="str">
        <f t="shared" si="4"/>
        <v/>
      </c>
      <c r="X30" s="108" t="str">
        <f t="shared" si="22"/>
        <v/>
      </c>
      <c r="Y30" s="109" t="str">
        <f t="shared" si="5"/>
        <v>月</v>
      </c>
      <c r="Z30" s="108" t="str">
        <f t="shared" si="23"/>
        <v>△</v>
      </c>
      <c r="AA30" s="106">
        <v>29</v>
      </c>
    </row>
    <row r="31" spans="2:32">
      <c r="B31" s="106">
        <v>30</v>
      </c>
      <c r="C31" s="107" t="str">
        <f t="shared" si="6"/>
        <v>木</v>
      </c>
      <c r="D31" s="108" t="str">
        <f>IF(C31="","",IF(COUNTIF(C$44:C$55,$B31),"",IF(C31="日","",IF(C31="土","◇",IF(COUNTIF(C$56:C$67,$B31),"◎",IF(COUNTIF(D$44:D$67,$B31),"△",IF(C31="水","●","○")))))))</f>
        <v>○</v>
      </c>
      <c r="E31" s="107" t="str">
        <f t="shared" si="8"/>
        <v>土</v>
      </c>
      <c r="F31" s="108" t="str">
        <f t="shared" si="9"/>
        <v>◇</v>
      </c>
      <c r="G31" s="109" t="str">
        <f t="shared" si="10"/>
        <v>火</v>
      </c>
      <c r="H31" s="110" t="str">
        <f t="shared" si="11"/>
        <v>○</v>
      </c>
      <c r="I31" s="107" t="str">
        <f t="shared" si="12"/>
        <v>木</v>
      </c>
      <c r="J31" s="108" t="str">
        <f t="shared" si="0"/>
        <v>▲</v>
      </c>
      <c r="K31" s="107" t="str">
        <f t="shared" si="13"/>
        <v>日</v>
      </c>
      <c r="L31" s="108" t="str">
        <f t="shared" si="1"/>
        <v/>
      </c>
      <c r="M31" s="109" t="str">
        <f t="shared" si="14"/>
        <v>水</v>
      </c>
      <c r="N31" s="110" t="str">
        <f t="shared" si="2"/>
        <v>●</v>
      </c>
      <c r="O31" s="107" t="str">
        <f t="shared" si="15"/>
        <v>金</v>
      </c>
      <c r="P31" s="108" t="str">
        <f t="shared" si="3"/>
        <v>○</v>
      </c>
      <c r="Q31" s="109" t="str">
        <f t="shared" si="16"/>
        <v>月</v>
      </c>
      <c r="R31" s="110" t="str">
        <f t="shared" si="17"/>
        <v>○</v>
      </c>
      <c r="S31" s="107" t="str">
        <f t="shared" si="18"/>
        <v>水</v>
      </c>
      <c r="T31" s="108" t="str">
        <f t="shared" si="19"/>
        <v/>
      </c>
      <c r="U31" s="109" t="str">
        <f t="shared" si="20"/>
        <v>土</v>
      </c>
      <c r="V31" s="110" t="str">
        <f t="shared" si="21"/>
        <v>◇</v>
      </c>
      <c r="W31" s="107" t="str">
        <f t="shared" si="4"/>
        <v/>
      </c>
      <c r="X31" s="108" t="str">
        <f t="shared" si="22"/>
        <v/>
      </c>
      <c r="Y31" s="109" t="str">
        <f t="shared" si="5"/>
        <v>火</v>
      </c>
      <c r="Z31" s="108" t="str">
        <f t="shared" si="23"/>
        <v>△</v>
      </c>
      <c r="AA31" s="106">
        <v>30</v>
      </c>
      <c r="AC31" s="112"/>
    </row>
    <row r="32" spans="2:32" ht="15" thickBot="1">
      <c r="B32" s="113">
        <v>31</v>
      </c>
      <c r="C32" s="114" t="str">
        <f t="shared" si="6"/>
        <v/>
      </c>
      <c r="D32" s="115" t="str">
        <f t="shared" ref="D32" si="25">IF(C32="","",IF(COUNTIF(C$44:C$55,$B32),"",IF(C32="日","",IF(C32="土","◇",IF(COUNTIF(C$56:C$67,$B32),"◎",IF(COUNTIF(D$44:D$67,$B32),"△",IF(C32="水","●","○")))))))</f>
        <v/>
      </c>
      <c r="E32" s="114" t="str">
        <f t="shared" si="8"/>
        <v>日</v>
      </c>
      <c r="F32" s="115" t="str">
        <f t="shared" si="9"/>
        <v/>
      </c>
      <c r="G32" s="116" t="str">
        <f t="shared" si="10"/>
        <v/>
      </c>
      <c r="H32" s="117" t="str">
        <f t="shared" si="11"/>
        <v/>
      </c>
      <c r="I32" s="114" t="str">
        <f t="shared" si="12"/>
        <v>金</v>
      </c>
      <c r="J32" s="115" t="str">
        <f t="shared" si="0"/>
        <v>▲</v>
      </c>
      <c r="K32" s="114" t="str">
        <f>TEXT($A$1&amp;-K$1&amp;-$B32,"aaa;;;")</f>
        <v>月</v>
      </c>
      <c r="L32" s="115" t="str">
        <f t="shared" si="1"/>
        <v>○</v>
      </c>
      <c r="M32" s="116" t="str">
        <f t="shared" si="14"/>
        <v/>
      </c>
      <c r="N32" s="117" t="str">
        <f t="shared" si="2"/>
        <v/>
      </c>
      <c r="O32" s="114" t="str">
        <f t="shared" si="15"/>
        <v>土</v>
      </c>
      <c r="P32" s="115" t="str">
        <f t="shared" si="3"/>
        <v>◇</v>
      </c>
      <c r="Q32" s="116" t="str">
        <f t="shared" si="16"/>
        <v/>
      </c>
      <c r="R32" s="117" t="str">
        <f t="shared" si="17"/>
        <v/>
      </c>
      <c r="S32" s="114" t="str">
        <f t="shared" si="18"/>
        <v>木</v>
      </c>
      <c r="T32" s="115" t="str">
        <f t="shared" si="19"/>
        <v/>
      </c>
      <c r="U32" s="116" t="str">
        <f t="shared" si="20"/>
        <v>日</v>
      </c>
      <c r="V32" s="117" t="str">
        <f t="shared" si="21"/>
        <v/>
      </c>
      <c r="W32" s="114" t="str">
        <f t="shared" si="4"/>
        <v/>
      </c>
      <c r="X32" s="115" t="str">
        <f t="shared" si="22"/>
        <v/>
      </c>
      <c r="Y32" s="116" t="str">
        <f t="shared" si="5"/>
        <v>水</v>
      </c>
      <c r="Z32" s="115" t="str">
        <f t="shared" si="23"/>
        <v>△</v>
      </c>
      <c r="AA32" s="113">
        <v>31</v>
      </c>
    </row>
    <row r="33" spans="1:54" ht="15" thickBot="1"/>
    <row r="34" spans="1:54" ht="15" thickBot="1">
      <c r="A34" s="488" t="s">
        <v>88</v>
      </c>
      <c r="B34" s="489"/>
      <c r="C34" s="96">
        <v>4</v>
      </c>
      <c r="D34" s="97" t="s">
        <v>86</v>
      </c>
      <c r="E34" s="96">
        <v>5</v>
      </c>
      <c r="F34" s="97" t="s">
        <v>86</v>
      </c>
      <c r="G34" s="98">
        <v>6</v>
      </c>
      <c r="H34" s="97" t="s">
        <v>86</v>
      </c>
      <c r="I34" s="96">
        <v>7</v>
      </c>
      <c r="J34" s="97" t="s">
        <v>86</v>
      </c>
      <c r="K34" s="96">
        <v>8</v>
      </c>
      <c r="L34" s="97" t="s">
        <v>86</v>
      </c>
      <c r="M34" s="98">
        <v>9</v>
      </c>
      <c r="N34" s="97" t="s">
        <v>86</v>
      </c>
      <c r="O34" s="96">
        <v>10</v>
      </c>
      <c r="P34" s="97" t="s">
        <v>86</v>
      </c>
      <c r="Q34" s="98">
        <v>11</v>
      </c>
      <c r="R34" s="97" t="s">
        <v>37</v>
      </c>
      <c r="S34" s="96">
        <v>12</v>
      </c>
      <c r="T34" s="97" t="s">
        <v>37</v>
      </c>
      <c r="U34" s="98">
        <v>1</v>
      </c>
      <c r="V34" s="97" t="s">
        <v>37</v>
      </c>
      <c r="W34" s="96">
        <v>2</v>
      </c>
      <c r="X34" s="97" t="s">
        <v>37</v>
      </c>
      <c r="Y34" s="98">
        <v>3</v>
      </c>
      <c r="Z34" s="97" t="s">
        <v>37</v>
      </c>
      <c r="AA34" s="118" t="s">
        <v>89</v>
      </c>
      <c r="AB34" s="141" t="s">
        <v>52</v>
      </c>
      <c r="AC34" s="145" t="s">
        <v>53</v>
      </c>
      <c r="AD34" s="145" t="s">
        <v>92</v>
      </c>
      <c r="AE34" s="155">
        <v>4</v>
      </c>
      <c r="AF34" s="156" t="s">
        <v>86</v>
      </c>
      <c r="AG34" s="157">
        <v>5</v>
      </c>
      <c r="AH34" s="156" t="s">
        <v>86</v>
      </c>
      <c r="AI34" s="157">
        <v>6</v>
      </c>
      <c r="AJ34" s="156" t="s">
        <v>86</v>
      </c>
      <c r="AK34" s="157">
        <v>7</v>
      </c>
      <c r="AL34" s="156" t="s">
        <v>86</v>
      </c>
      <c r="AM34" s="157">
        <v>8</v>
      </c>
      <c r="AN34" s="156" t="s">
        <v>86</v>
      </c>
      <c r="AO34" s="157">
        <v>9</v>
      </c>
      <c r="AP34" s="156" t="s">
        <v>86</v>
      </c>
      <c r="AQ34" s="157">
        <v>10</v>
      </c>
      <c r="AR34" s="156" t="s">
        <v>86</v>
      </c>
      <c r="AS34" s="157">
        <v>11</v>
      </c>
      <c r="AT34" s="156" t="s">
        <v>37</v>
      </c>
      <c r="AU34" s="157">
        <v>12</v>
      </c>
      <c r="AV34" s="156" t="s">
        <v>37</v>
      </c>
      <c r="AW34" s="157">
        <v>1</v>
      </c>
      <c r="AX34" s="156" t="s">
        <v>37</v>
      </c>
      <c r="AY34" s="157">
        <v>2</v>
      </c>
      <c r="AZ34" s="156" t="s">
        <v>37</v>
      </c>
      <c r="BA34" s="157">
        <v>3</v>
      </c>
      <c r="BB34" s="158" t="s">
        <v>37</v>
      </c>
    </row>
    <row r="35" spans="1:54" ht="15" thickTop="1">
      <c r="A35" s="490" t="s">
        <v>40</v>
      </c>
      <c r="B35" s="491"/>
      <c r="C35" s="104" t="s">
        <v>54</v>
      </c>
      <c r="D35" s="103">
        <f>COUNTIF(D$2:D$32,C35)</f>
        <v>9</v>
      </c>
      <c r="E35" s="102" t="str">
        <f>C35</f>
        <v>○</v>
      </c>
      <c r="F35" s="103">
        <f>COUNTIF(F$2:F$32,E35)</f>
        <v>15</v>
      </c>
      <c r="G35" s="102" t="str">
        <f>E35</f>
        <v>○</v>
      </c>
      <c r="H35" s="103">
        <f>COUNTIF(H$2:H$32,G35)</f>
        <v>18</v>
      </c>
      <c r="I35" s="102" t="str">
        <f>G35</f>
        <v>○</v>
      </c>
      <c r="J35" s="103">
        <f>COUNTIF(J$2:J$32,I35)</f>
        <v>9</v>
      </c>
      <c r="K35" s="102" t="str">
        <f>I35</f>
        <v>○</v>
      </c>
      <c r="L35" s="103">
        <f>COUNTIF(L$2:L$32,K35)</f>
        <v>3</v>
      </c>
      <c r="M35" s="102" t="str">
        <f>K35</f>
        <v>○</v>
      </c>
      <c r="N35" s="103">
        <f>COUNTIF(N$2:N$32,M35)</f>
        <v>15</v>
      </c>
      <c r="O35" s="102" t="str">
        <f>M35</f>
        <v>○</v>
      </c>
      <c r="P35" s="103">
        <f>COUNTIF(P$2:P$32,O35)</f>
        <v>17</v>
      </c>
      <c r="Q35" s="102" t="str">
        <f>O35</f>
        <v>○</v>
      </c>
      <c r="R35" s="103">
        <f>COUNTIF(R$2:R$32,Q35)</f>
        <v>15</v>
      </c>
      <c r="S35" s="102" t="str">
        <f>Q35</f>
        <v>○</v>
      </c>
      <c r="T35" s="103">
        <f>COUNTIF(T$2:T$32,S35)</f>
        <v>13</v>
      </c>
      <c r="U35" s="102" t="str">
        <f>S35</f>
        <v>○</v>
      </c>
      <c r="V35" s="103">
        <f>COUNTIF(V$2:V$32,U35)</f>
        <v>10</v>
      </c>
      <c r="W35" s="102" t="str">
        <f>U35</f>
        <v>○</v>
      </c>
      <c r="X35" s="103">
        <f>COUNTIF(X$2:X$32,W35)</f>
        <v>14</v>
      </c>
      <c r="Y35" s="102" t="str">
        <f>W35</f>
        <v>○</v>
      </c>
      <c r="Z35" s="103">
        <f>COUNTIF(Z$2:Z$32,Y35)</f>
        <v>12</v>
      </c>
      <c r="AA35" s="108">
        <f>COUNTIF($D$2:$Z$32,$C35)</f>
        <v>150</v>
      </c>
      <c r="AB35" s="142" t="s">
        <v>46</v>
      </c>
      <c r="AC35" s="146" t="s">
        <v>49</v>
      </c>
      <c r="AD35" s="149">
        <v>5.5</v>
      </c>
      <c r="AE35" s="159">
        <f>D35*$AD35</f>
        <v>49.5</v>
      </c>
      <c r="AF35" s="160" t="s">
        <v>93</v>
      </c>
      <c r="AG35" s="161">
        <f t="shared" ref="AG35:AG41" si="26">F35*$AD35</f>
        <v>82.5</v>
      </c>
      <c r="AH35" s="160" t="s">
        <v>93</v>
      </c>
      <c r="AI35" s="161">
        <f t="shared" ref="AI35:AI41" si="27">H35*$AD35</f>
        <v>99</v>
      </c>
      <c r="AJ35" s="160" t="s">
        <v>93</v>
      </c>
      <c r="AK35" s="161">
        <f t="shared" ref="AK35:AK41" si="28">J35*$AD35</f>
        <v>49.5</v>
      </c>
      <c r="AL35" s="160" t="s">
        <v>93</v>
      </c>
      <c r="AM35" s="161">
        <f t="shared" ref="AM35:AM41" si="29">L35*$AD35</f>
        <v>16.5</v>
      </c>
      <c r="AN35" s="160" t="s">
        <v>93</v>
      </c>
      <c r="AO35" s="161">
        <f t="shared" ref="AO35:AO41" si="30">N35*$AD35</f>
        <v>82.5</v>
      </c>
      <c r="AP35" s="160" t="s">
        <v>93</v>
      </c>
      <c r="AQ35" s="161">
        <f t="shared" ref="AQ35:AQ41" si="31">P35*$AD35</f>
        <v>93.5</v>
      </c>
      <c r="AR35" s="160" t="s">
        <v>93</v>
      </c>
      <c r="AS35" s="161">
        <f t="shared" ref="AS35:AS41" si="32">R35*$AD35</f>
        <v>82.5</v>
      </c>
      <c r="AT35" s="160" t="s">
        <v>93</v>
      </c>
      <c r="AU35" s="161">
        <f t="shared" ref="AU35:AU41" si="33">T35*$AD35</f>
        <v>71.5</v>
      </c>
      <c r="AV35" s="160" t="s">
        <v>93</v>
      </c>
      <c r="AW35" s="161">
        <f t="shared" ref="AW35:AW41" si="34">V35*$AD35</f>
        <v>55</v>
      </c>
      <c r="AX35" s="160" t="s">
        <v>93</v>
      </c>
      <c r="AY35" s="161">
        <f t="shared" ref="AY35:AY41" si="35">X35*$AD35</f>
        <v>77</v>
      </c>
      <c r="AZ35" s="160" t="s">
        <v>93</v>
      </c>
      <c r="BA35" s="161">
        <f t="shared" ref="BA35:BA41" si="36">Z35*$AD35</f>
        <v>66</v>
      </c>
      <c r="BB35" s="162" t="s">
        <v>93</v>
      </c>
    </row>
    <row r="36" spans="1:54">
      <c r="A36" s="492" t="s">
        <v>90</v>
      </c>
      <c r="B36" s="493"/>
      <c r="C36" s="119" t="s">
        <v>55</v>
      </c>
      <c r="D36" s="120">
        <f>COUNTIF(D$2:D$32,C36)</f>
        <v>1</v>
      </c>
      <c r="E36" s="121" t="str">
        <f t="shared" ref="E36:S40" si="37">C36</f>
        <v>●</v>
      </c>
      <c r="F36" s="120">
        <f>COUNTIF(F$2:F$32,E36)</f>
        <v>3</v>
      </c>
      <c r="G36" s="121" t="str">
        <f t="shared" si="37"/>
        <v>●</v>
      </c>
      <c r="H36" s="120">
        <f>COUNTIF(H$2:H$32,G36)</f>
        <v>4</v>
      </c>
      <c r="I36" s="121" t="str">
        <f t="shared" si="37"/>
        <v>●</v>
      </c>
      <c r="J36" s="120">
        <f>COUNTIF(J$2:J$32,I36)</f>
        <v>3</v>
      </c>
      <c r="K36" s="121" t="str">
        <f t="shared" si="37"/>
        <v>●</v>
      </c>
      <c r="L36" s="120">
        <f>COUNTIF(L$2:L$32,K36)</f>
        <v>0</v>
      </c>
      <c r="M36" s="121" t="str">
        <f t="shared" si="37"/>
        <v>●</v>
      </c>
      <c r="N36" s="120">
        <f>COUNTIF(N$2:N$32,M36)</f>
        <v>4</v>
      </c>
      <c r="O36" s="121" t="str">
        <f t="shared" si="37"/>
        <v>●</v>
      </c>
      <c r="P36" s="120">
        <f>COUNTIF(P$2:P$32,O36)</f>
        <v>4</v>
      </c>
      <c r="Q36" s="121" t="str">
        <f t="shared" si="37"/>
        <v>●</v>
      </c>
      <c r="R36" s="120">
        <f>COUNTIF(R$2:R$32,Q36)</f>
        <v>4</v>
      </c>
      <c r="S36" s="121" t="str">
        <f t="shared" si="37"/>
        <v>●</v>
      </c>
      <c r="T36" s="120">
        <f>COUNTIF(T$2:T$32,S36)</f>
        <v>4</v>
      </c>
      <c r="U36" s="121" t="str">
        <f t="shared" ref="U36:Y40" si="38">S36</f>
        <v>●</v>
      </c>
      <c r="V36" s="120">
        <f>COUNTIF(V$2:V$32,U36)</f>
        <v>3</v>
      </c>
      <c r="W36" s="121" t="str">
        <f t="shared" si="38"/>
        <v>●</v>
      </c>
      <c r="X36" s="120">
        <f>COUNTIF(X$2:X$32,W36)</f>
        <v>4</v>
      </c>
      <c r="Y36" s="121" t="str">
        <f t="shared" si="38"/>
        <v>●</v>
      </c>
      <c r="Z36" s="120">
        <f>COUNTIF(Z$2:Z$32,Y36)</f>
        <v>3</v>
      </c>
      <c r="AA36" s="120">
        <f>COUNTIF($D$2:$Z$32,$C36)</f>
        <v>37</v>
      </c>
      <c r="AB36" s="143" t="s">
        <v>100</v>
      </c>
      <c r="AC36" s="147" t="s">
        <v>49</v>
      </c>
      <c r="AD36" s="150">
        <v>6</v>
      </c>
      <c r="AE36" s="163">
        <f t="shared" ref="AE36:AE39" si="39">D36*$AD36</f>
        <v>6</v>
      </c>
      <c r="AF36" s="164" t="s">
        <v>93</v>
      </c>
      <c r="AG36" s="165">
        <f t="shared" si="26"/>
        <v>18</v>
      </c>
      <c r="AH36" s="164" t="s">
        <v>93</v>
      </c>
      <c r="AI36" s="165">
        <f t="shared" si="27"/>
        <v>24</v>
      </c>
      <c r="AJ36" s="164" t="s">
        <v>93</v>
      </c>
      <c r="AK36" s="165">
        <f t="shared" si="28"/>
        <v>18</v>
      </c>
      <c r="AL36" s="164" t="s">
        <v>93</v>
      </c>
      <c r="AM36" s="165">
        <f t="shared" si="29"/>
        <v>0</v>
      </c>
      <c r="AN36" s="164" t="s">
        <v>93</v>
      </c>
      <c r="AO36" s="165">
        <f t="shared" si="30"/>
        <v>24</v>
      </c>
      <c r="AP36" s="164" t="s">
        <v>93</v>
      </c>
      <c r="AQ36" s="165">
        <f t="shared" si="31"/>
        <v>24</v>
      </c>
      <c r="AR36" s="164" t="s">
        <v>93</v>
      </c>
      <c r="AS36" s="165">
        <f t="shared" si="32"/>
        <v>24</v>
      </c>
      <c r="AT36" s="164" t="s">
        <v>93</v>
      </c>
      <c r="AU36" s="165">
        <f t="shared" si="33"/>
        <v>24</v>
      </c>
      <c r="AV36" s="164" t="s">
        <v>93</v>
      </c>
      <c r="AW36" s="165">
        <f t="shared" si="34"/>
        <v>18</v>
      </c>
      <c r="AX36" s="164" t="s">
        <v>93</v>
      </c>
      <c r="AY36" s="165">
        <f t="shared" si="35"/>
        <v>24</v>
      </c>
      <c r="AZ36" s="164" t="s">
        <v>93</v>
      </c>
      <c r="BA36" s="165">
        <f t="shared" si="36"/>
        <v>18</v>
      </c>
      <c r="BB36" s="166" t="s">
        <v>93</v>
      </c>
    </row>
    <row r="37" spans="1:54">
      <c r="A37" s="494" t="s">
        <v>41</v>
      </c>
      <c r="B37" s="495"/>
      <c r="C37" s="122" t="s">
        <v>56</v>
      </c>
      <c r="D37" s="123">
        <f t="shared" ref="D37:F40" si="40">COUNTIF(D$2:D$32,C37)</f>
        <v>6</v>
      </c>
      <c r="E37" s="124" t="str">
        <f t="shared" si="37"/>
        <v>◎</v>
      </c>
      <c r="F37" s="123">
        <f t="shared" si="40"/>
        <v>0</v>
      </c>
      <c r="G37" s="124" t="str">
        <f t="shared" si="37"/>
        <v>◎</v>
      </c>
      <c r="H37" s="123">
        <f t="shared" ref="H37:H40" si="41">COUNTIF(H$2:H$32,G37)</f>
        <v>0</v>
      </c>
      <c r="I37" s="124" t="str">
        <f t="shared" si="37"/>
        <v>◎</v>
      </c>
      <c r="J37" s="123">
        <f t="shared" ref="J37:J40" si="42">COUNTIF(J$2:J$32,I37)</f>
        <v>1</v>
      </c>
      <c r="K37" s="124" t="str">
        <f t="shared" si="37"/>
        <v>◎</v>
      </c>
      <c r="L37" s="123">
        <f t="shared" ref="L37:L40" si="43">COUNTIF(L$2:L$32,K37)</f>
        <v>2</v>
      </c>
      <c r="M37" s="124" t="str">
        <f t="shared" si="37"/>
        <v>◎</v>
      </c>
      <c r="N37" s="123">
        <f t="shared" ref="N37:N40" si="44">COUNTIF(N$2:N$32,M37)</f>
        <v>0</v>
      </c>
      <c r="O37" s="124" t="str">
        <f t="shared" si="37"/>
        <v>◎</v>
      </c>
      <c r="P37" s="123">
        <f t="shared" ref="P37:P40" si="45">COUNTIF(P$2:P$32,O37)</f>
        <v>0</v>
      </c>
      <c r="Q37" s="124" t="str">
        <f t="shared" si="37"/>
        <v>◎</v>
      </c>
      <c r="R37" s="123">
        <f t="shared" ref="R37:R40" si="46">COUNTIF(R$2:R$32,Q37)</f>
        <v>0</v>
      </c>
      <c r="S37" s="124" t="str">
        <f t="shared" si="37"/>
        <v>◎</v>
      </c>
      <c r="T37" s="123">
        <f t="shared" ref="T37:T40" si="47">COUNTIF(T$2:T$32,S37)</f>
        <v>1</v>
      </c>
      <c r="U37" s="124" t="str">
        <f t="shared" si="38"/>
        <v>◎</v>
      </c>
      <c r="V37" s="123">
        <f t="shared" ref="V37:V40" si="48">COUNTIF(V$2:V$32,U37)</f>
        <v>2</v>
      </c>
      <c r="W37" s="124" t="str">
        <f t="shared" si="38"/>
        <v>◎</v>
      </c>
      <c r="X37" s="123">
        <f t="shared" ref="X37:X40" si="49">COUNTIF(X$2:X$32,W37)</f>
        <v>0</v>
      </c>
      <c r="Y37" s="124" t="str">
        <f t="shared" si="38"/>
        <v>◎</v>
      </c>
      <c r="Z37" s="123">
        <f t="shared" ref="Z37:Z40" si="50">COUNTIF(Z$2:Z$32,Y37)</f>
        <v>2</v>
      </c>
      <c r="AA37" s="123">
        <f t="shared" ref="AA37:AA40" si="51">COUNTIF($D$2:$Z$32,$C37)</f>
        <v>14</v>
      </c>
      <c r="AB37" s="143" t="s">
        <v>101</v>
      </c>
      <c r="AC37" s="147" t="s">
        <v>50</v>
      </c>
      <c r="AD37" s="150">
        <v>8</v>
      </c>
      <c r="AE37" s="163">
        <f t="shared" si="39"/>
        <v>48</v>
      </c>
      <c r="AF37" s="164" t="s">
        <v>93</v>
      </c>
      <c r="AG37" s="165">
        <f t="shared" si="26"/>
        <v>0</v>
      </c>
      <c r="AH37" s="164" t="s">
        <v>93</v>
      </c>
      <c r="AI37" s="165">
        <f t="shared" si="27"/>
        <v>0</v>
      </c>
      <c r="AJ37" s="164" t="s">
        <v>93</v>
      </c>
      <c r="AK37" s="165">
        <f t="shared" si="28"/>
        <v>8</v>
      </c>
      <c r="AL37" s="164" t="s">
        <v>93</v>
      </c>
      <c r="AM37" s="165">
        <f t="shared" si="29"/>
        <v>16</v>
      </c>
      <c r="AN37" s="164" t="s">
        <v>93</v>
      </c>
      <c r="AO37" s="165">
        <f t="shared" si="30"/>
        <v>0</v>
      </c>
      <c r="AP37" s="164" t="s">
        <v>93</v>
      </c>
      <c r="AQ37" s="165">
        <f t="shared" si="31"/>
        <v>0</v>
      </c>
      <c r="AR37" s="164" t="s">
        <v>93</v>
      </c>
      <c r="AS37" s="165">
        <f t="shared" si="32"/>
        <v>0</v>
      </c>
      <c r="AT37" s="164" t="s">
        <v>93</v>
      </c>
      <c r="AU37" s="165">
        <f t="shared" si="33"/>
        <v>8</v>
      </c>
      <c r="AV37" s="164" t="s">
        <v>93</v>
      </c>
      <c r="AW37" s="165">
        <f t="shared" si="34"/>
        <v>16</v>
      </c>
      <c r="AX37" s="164" t="s">
        <v>93</v>
      </c>
      <c r="AY37" s="165">
        <f t="shared" si="35"/>
        <v>0</v>
      </c>
      <c r="AZ37" s="164" t="s">
        <v>93</v>
      </c>
      <c r="BA37" s="165">
        <f t="shared" si="36"/>
        <v>16</v>
      </c>
      <c r="BB37" s="166" t="s">
        <v>93</v>
      </c>
    </row>
    <row r="38" spans="1:54">
      <c r="A38" s="496" t="s">
        <v>42</v>
      </c>
      <c r="B38" s="497"/>
      <c r="C38" s="125" t="s">
        <v>57</v>
      </c>
      <c r="D38" s="126">
        <f t="shared" si="40"/>
        <v>5</v>
      </c>
      <c r="E38" s="127" t="str">
        <f t="shared" si="37"/>
        <v>△</v>
      </c>
      <c r="F38" s="126">
        <f t="shared" si="40"/>
        <v>0</v>
      </c>
      <c r="G38" s="127" t="str">
        <f t="shared" si="37"/>
        <v>△</v>
      </c>
      <c r="H38" s="126">
        <f t="shared" si="41"/>
        <v>0</v>
      </c>
      <c r="I38" s="127" t="str">
        <f t="shared" si="37"/>
        <v>△</v>
      </c>
      <c r="J38" s="126">
        <f t="shared" si="42"/>
        <v>0</v>
      </c>
      <c r="K38" s="127" t="str">
        <f t="shared" si="37"/>
        <v>△</v>
      </c>
      <c r="L38" s="126">
        <f t="shared" si="43"/>
        <v>0</v>
      </c>
      <c r="M38" s="127" t="str">
        <f t="shared" si="37"/>
        <v>△</v>
      </c>
      <c r="N38" s="126">
        <f t="shared" si="44"/>
        <v>0</v>
      </c>
      <c r="O38" s="127" t="str">
        <f t="shared" si="37"/>
        <v>△</v>
      </c>
      <c r="P38" s="126">
        <f t="shared" si="45"/>
        <v>0</v>
      </c>
      <c r="Q38" s="127" t="str">
        <f t="shared" si="37"/>
        <v>△</v>
      </c>
      <c r="R38" s="126">
        <f t="shared" si="46"/>
        <v>0</v>
      </c>
      <c r="S38" s="127" t="str">
        <f t="shared" si="37"/>
        <v>△</v>
      </c>
      <c r="T38" s="126">
        <f t="shared" si="47"/>
        <v>2</v>
      </c>
      <c r="U38" s="127" t="str">
        <f t="shared" si="38"/>
        <v>△</v>
      </c>
      <c r="V38" s="126">
        <f t="shared" si="48"/>
        <v>4</v>
      </c>
      <c r="W38" s="127" t="str">
        <f t="shared" si="38"/>
        <v>△</v>
      </c>
      <c r="X38" s="126">
        <f t="shared" si="49"/>
        <v>0</v>
      </c>
      <c r="Y38" s="127" t="str">
        <f t="shared" si="38"/>
        <v>△</v>
      </c>
      <c r="Z38" s="126">
        <f t="shared" si="50"/>
        <v>5</v>
      </c>
      <c r="AA38" s="126">
        <f t="shared" si="51"/>
        <v>16</v>
      </c>
      <c r="AB38" s="143" t="s">
        <v>47</v>
      </c>
      <c r="AC38" s="147" t="s">
        <v>51</v>
      </c>
      <c r="AD38" s="150">
        <v>12</v>
      </c>
      <c r="AE38" s="163">
        <f>D38*$AD38</f>
        <v>60</v>
      </c>
      <c r="AF38" s="164" t="s">
        <v>93</v>
      </c>
      <c r="AG38" s="165">
        <f t="shared" si="26"/>
        <v>0</v>
      </c>
      <c r="AH38" s="164" t="s">
        <v>93</v>
      </c>
      <c r="AI38" s="165">
        <f t="shared" si="27"/>
        <v>0</v>
      </c>
      <c r="AJ38" s="164" t="s">
        <v>93</v>
      </c>
      <c r="AK38" s="165">
        <f t="shared" si="28"/>
        <v>0</v>
      </c>
      <c r="AL38" s="164" t="s">
        <v>93</v>
      </c>
      <c r="AM38" s="165">
        <f t="shared" si="29"/>
        <v>0</v>
      </c>
      <c r="AN38" s="164" t="s">
        <v>93</v>
      </c>
      <c r="AO38" s="165">
        <f t="shared" si="30"/>
        <v>0</v>
      </c>
      <c r="AP38" s="164" t="s">
        <v>93</v>
      </c>
      <c r="AQ38" s="165">
        <f t="shared" si="31"/>
        <v>0</v>
      </c>
      <c r="AR38" s="164" t="s">
        <v>93</v>
      </c>
      <c r="AS38" s="165">
        <f t="shared" si="32"/>
        <v>0</v>
      </c>
      <c r="AT38" s="164" t="s">
        <v>93</v>
      </c>
      <c r="AU38" s="165">
        <f t="shared" si="33"/>
        <v>24</v>
      </c>
      <c r="AV38" s="164" t="s">
        <v>93</v>
      </c>
      <c r="AW38" s="165">
        <f t="shared" si="34"/>
        <v>48</v>
      </c>
      <c r="AX38" s="164" t="s">
        <v>93</v>
      </c>
      <c r="AY38" s="165">
        <f t="shared" si="35"/>
        <v>0</v>
      </c>
      <c r="AZ38" s="164" t="s">
        <v>93</v>
      </c>
      <c r="BA38" s="165">
        <f t="shared" si="36"/>
        <v>60</v>
      </c>
      <c r="BB38" s="166" t="s">
        <v>93</v>
      </c>
    </row>
    <row r="39" spans="1:54">
      <c r="A39" s="498" t="s">
        <v>43</v>
      </c>
      <c r="B39" s="499"/>
      <c r="C39" s="128" t="s">
        <v>58</v>
      </c>
      <c r="D39" s="129">
        <f t="shared" si="40"/>
        <v>0</v>
      </c>
      <c r="E39" s="130" t="str">
        <f t="shared" si="37"/>
        <v>▲</v>
      </c>
      <c r="F39" s="129">
        <f t="shared" si="40"/>
        <v>0</v>
      </c>
      <c r="G39" s="130" t="str">
        <f t="shared" si="37"/>
        <v>▲</v>
      </c>
      <c r="H39" s="129">
        <f t="shared" si="41"/>
        <v>0</v>
      </c>
      <c r="I39" s="130" t="str">
        <f t="shared" si="37"/>
        <v>▲</v>
      </c>
      <c r="J39" s="129">
        <f t="shared" si="42"/>
        <v>9</v>
      </c>
      <c r="K39" s="130" t="str">
        <f t="shared" si="37"/>
        <v>▲</v>
      </c>
      <c r="L39" s="129">
        <f t="shared" si="43"/>
        <v>15</v>
      </c>
      <c r="M39" s="130" t="str">
        <f t="shared" si="37"/>
        <v>▲</v>
      </c>
      <c r="N39" s="129">
        <f t="shared" si="44"/>
        <v>0</v>
      </c>
      <c r="O39" s="130" t="str">
        <f t="shared" si="37"/>
        <v>▲</v>
      </c>
      <c r="P39" s="129">
        <f t="shared" si="45"/>
        <v>0</v>
      </c>
      <c r="Q39" s="130" t="str">
        <f t="shared" si="37"/>
        <v>▲</v>
      </c>
      <c r="R39" s="129">
        <f t="shared" si="46"/>
        <v>0</v>
      </c>
      <c r="S39" s="130" t="str">
        <f t="shared" si="37"/>
        <v>▲</v>
      </c>
      <c r="T39" s="129">
        <f t="shared" si="47"/>
        <v>0</v>
      </c>
      <c r="U39" s="130" t="str">
        <f t="shared" si="38"/>
        <v>▲</v>
      </c>
      <c r="V39" s="129">
        <f t="shared" si="48"/>
        <v>0</v>
      </c>
      <c r="W39" s="130" t="str">
        <f t="shared" si="38"/>
        <v>▲</v>
      </c>
      <c r="X39" s="129">
        <f t="shared" si="49"/>
        <v>0</v>
      </c>
      <c r="Y39" s="130" t="str">
        <f t="shared" si="38"/>
        <v>▲</v>
      </c>
      <c r="Z39" s="129">
        <f t="shared" si="50"/>
        <v>0</v>
      </c>
      <c r="AA39" s="129">
        <f t="shared" si="51"/>
        <v>24</v>
      </c>
      <c r="AB39" s="143" t="s">
        <v>47</v>
      </c>
      <c r="AC39" s="147" t="s">
        <v>51</v>
      </c>
      <c r="AD39" s="150">
        <v>12</v>
      </c>
      <c r="AE39" s="163">
        <f t="shared" si="39"/>
        <v>0</v>
      </c>
      <c r="AF39" s="164" t="s">
        <v>93</v>
      </c>
      <c r="AG39" s="165">
        <f t="shared" si="26"/>
        <v>0</v>
      </c>
      <c r="AH39" s="164" t="s">
        <v>93</v>
      </c>
      <c r="AI39" s="165">
        <f t="shared" si="27"/>
        <v>0</v>
      </c>
      <c r="AJ39" s="164" t="s">
        <v>93</v>
      </c>
      <c r="AK39" s="165">
        <f t="shared" si="28"/>
        <v>108</v>
      </c>
      <c r="AL39" s="164" t="s">
        <v>93</v>
      </c>
      <c r="AM39" s="165">
        <f t="shared" si="29"/>
        <v>180</v>
      </c>
      <c r="AN39" s="164" t="s">
        <v>93</v>
      </c>
      <c r="AO39" s="165">
        <f t="shared" si="30"/>
        <v>0</v>
      </c>
      <c r="AP39" s="164" t="s">
        <v>93</v>
      </c>
      <c r="AQ39" s="165">
        <f t="shared" si="31"/>
        <v>0</v>
      </c>
      <c r="AR39" s="164" t="s">
        <v>93</v>
      </c>
      <c r="AS39" s="165">
        <f t="shared" si="32"/>
        <v>0</v>
      </c>
      <c r="AT39" s="164" t="s">
        <v>93</v>
      </c>
      <c r="AU39" s="165">
        <f t="shared" si="33"/>
        <v>0</v>
      </c>
      <c r="AV39" s="164" t="s">
        <v>93</v>
      </c>
      <c r="AW39" s="165">
        <f t="shared" si="34"/>
        <v>0</v>
      </c>
      <c r="AX39" s="164" t="s">
        <v>93</v>
      </c>
      <c r="AY39" s="165">
        <f t="shared" si="35"/>
        <v>0</v>
      </c>
      <c r="AZ39" s="164" t="s">
        <v>93</v>
      </c>
      <c r="BA39" s="165">
        <f t="shared" si="36"/>
        <v>0</v>
      </c>
      <c r="BB39" s="166" t="s">
        <v>93</v>
      </c>
    </row>
    <row r="40" spans="1:54" ht="15" thickBot="1">
      <c r="A40" s="500" t="s">
        <v>44</v>
      </c>
      <c r="B40" s="501"/>
      <c r="C40" s="131" t="s">
        <v>59</v>
      </c>
      <c r="D40" s="132">
        <f t="shared" si="40"/>
        <v>4</v>
      </c>
      <c r="E40" s="133" t="str">
        <f t="shared" si="37"/>
        <v>◇</v>
      </c>
      <c r="F40" s="132">
        <f t="shared" si="40"/>
        <v>5</v>
      </c>
      <c r="G40" s="133" t="str">
        <f t="shared" si="37"/>
        <v>◇</v>
      </c>
      <c r="H40" s="132">
        <f t="shared" si="41"/>
        <v>4</v>
      </c>
      <c r="I40" s="133" t="str">
        <f t="shared" si="37"/>
        <v>◇</v>
      </c>
      <c r="J40" s="132">
        <f t="shared" si="42"/>
        <v>4</v>
      </c>
      <c r="K40" s="133" t="str">
        <f t="shared" si="37"/>
        <v>◇</v>
      </c>
      <c r="L40" s="132">
        <f t="shared" si="43"/>
        <v>5</v>
      </c>
      <c r="M40" s="133" t="str">
        <f t="shared" si="37"/>
        <v>◇</v>
      </c>
      <c r="N40" s="132">
        <f t="shared" si="44"/>
        <v>4</v>
      </c>
      <c r="O40" s="133" t="str">
        <f t="shared" si="37"/>
        <v>◇</v>
      </c>
      <c r="P40" s="132">
        <f t="shared" si="45"/>
        <v>5</v>
      </c>
      <c r="Q40" s="133" t="str">
        <f t="shared" si="37"/>
        <v>◇</v>
      </c>
      <c r="R40" s="132">
        <f t="shared" si="46"/>
        <v>4</v>
      </c>
      <c r="S40" s="133" t="str">
        <f t="shared" si="37"/>
        <v>◇</v>
      </c>
      <c r="T40" s="132">
        <f t="shared" si="47"/>
        <v>4</v>
      </c>
      <c r="U40" s="133" t="str">
        <f t="shared" si="38"/>
        <v>◇</v>
      </c>
      <c r="V40" s="132">
        <f t="shared" si="48"/>
        <v>4</v>
      </c>
      <c r="W40" s="133" t="str">
        <f t="shared" si="38"/>
        <v>◇</v>
      </c>
      <c r="X40" s="132">
        <f t="shared" si="49"/>
        <v>4</v>
      </c>
      <c r="Y40" s="133" t="str">
        <f t="shared" si="38"/>
        <v>◇</v>
      </c>
      <c r="Z40" s="132">
        <f t="shared" si="50"/>
        <v>4</v>
      </c>
      <c r="AA40" s="134">
        <f t="shared" si="51"/>
        <v>51</v>
      </c>
      <c r="AB40" s="143" t="s">
        <v>47</v>
      </c>
      <c r="AC40" s="147" t="s">
        <v>51</v>
      </c>
      <c r="AD40" s="150">
        <v>12</v>
      </c>
      <c r="AE40" s="163">
        <f>D40*$AD40</f>
        <v>48</v>
      </c>
      <c r="AF40" s="164" t="s">
        <v>93</v>
      </c>
      <c r="AG40" s="165">
        <f t="shared" si="26"/>
        <v>60</v>
      </c>
      <c r="AH40" s="164" t="s">
        <v>93</v>
      </c>
      <c r="AI40" s="165">
        <f t="shared" si="27"/>
        <v>48</v>
      </c>
      <c r="AJ40" s="164" t="s">
        <v>93</v>
      </c>
      <c r="AK40" s="165">
        <f t="shared" si="28"/>
        <v>48</v>
      </c>
      <c r="AL40" s="164" t="s">
        <v>93</v>
      </c>
      <c r="AM40" s="165">
        <f t="shared" si="29"/>
        <v>60</v>
      </c>
      <c r="AN40" s="164" t="s">
        <v>93</v>
      </c>
      <c r="AO40" s="165">
        <f t="shared" si="30"/>
        <v>48</v>
      </c>
      <c r="AP40" s="164" t="s">
        <v>93</v>
      </c>
      <c r="AQ40" s="165">
        <f t="shared" si="31"/>
        <v>60</v>
      </c>
      <c r="AR40" s="164" t="s">
        <v>93</v>
      </c>
      <c r="AS40" s="165">
        <f t="shared" si="32"/>
        <v>48</v>
      </c>
      <c r="AT40" s="164" t="s">
        <v>93</v>
      </c>
      <c r="AU40" s="165">
        <f t="shared" si="33"/>
        <v>48</v>
      </c>
      <c r="AV40" s="164" t="s">
        <v>93</v>
      </c>
      <c r="AW40" s="165">
        <f t="shared" si="34"/>
        <v>48</v>
      </c>
      <c r="AX40" s="164" t="s">
        <v>93</v>
      </c>
      <c r="AY40" s="165">
        <f t="shared" si="35"/>
        <v>48</v>
      </c>
      <c r="AZ40" s="164" t="s">
        <v>93</v>
      </c>
      <c r="BA40" s="165">
        <f t="shared" si="36"/>
        <v>48</v>
      </c>
      <c r="BB40" s="166" t="s">
        <v>93</v>
      </c>
    </row>
    <row r="41" spans="1:54" ht="15" thickBot="1">
      <c r="A41" s="502" t="s">
        <v>89</v>
      </c>
      <c r="B41" s="503"/>
      <c r="C41" s="116"/>
      <c r="D41" s="115">
        <f>SUM(D35:D40)</f>
        <v>25</v>
      </c>
      <c r="E41" s="114"/>
      <c r="F41" s="115">
        <f>SUM(F35:F40)</f>
        <v>23</v>
      </c>
      <c r="G41" s="114"/>
      <c r="H41" s="115">
        <f>SUM(H35:H40)</f>
        <v>26</v>
      </c>
      <c r="I41" s="114"/>
      <c r="J41" s="115">
        <f>SUM(J35:J40)</f>
        <v>26</v>
      </c>
      <c r="K41" s="114"/>
      <c r="L41" s="115">
        <f>SUM(L35:L40)</f>
        <v>25</v>
      </c>
      <c r="M41" s="114"/>
      <c r="N41" s="115">
        <f>SUM(N35:N40)</f>
        <v>23</v>
      </c>
      <c r="O41" s="114"/>
      <c r="P41" s="115">
        <f>SUM(P35:P40)</f>
        <v>26</v>
      </c>
      <c r="Q41" s="114"/>
      <c r="R41" s="115">
        <f>SUM(R35:R40)</f>
        <v>23</v>
      </c>
      <c r="S41" s="114"/>
      <c r="T41" s="115">
        <f>SUM(T35:T40)</f>
        <v>24</v>
      </c>
      <c r="U41" s="114"/>
      <c r="V41" s="115">
        <f>SUM(V35:V40)</f>
        <v>23</v>
      </c>
      <c r="W41" s="114"/>
      <c r="X41" s="115">
        <f>SUM(X35:X40)</f>
        <v>22</v>
      </c>
      <c r="Y41" s="114"/>
      <c r="Z41" s="115">
        <f>SUM(Z35:Z40)</f>
        <v>26</v>
      </c>
      <c r="AA41" s="135">
        <f>SUM(AA35:AA40)</f>
        <v>292</v>
      </c>
      <c r="AB41" s="144" t="s">
        <v>48</v>
      </c>
      <c r="AC41" s="148"/>
      <c r="AD41" s="222">
        <v>0.5</v>
      </c>
      <c r="AE41" s="179">
        <f>D41*$AD41</f>
        <v>12.5</v>
      </c>
      <c r="AF41" s="180" t="s">
        <v>93</v>
      </c>
      <c r="AG41" s="181">
        <f t="shared" si="26"/>
        <v>11.5</v>
      </c>
      <c r="AH41" s="180" t="s">
        <v>93</v>
      </c>
      <c r="AI41" s="181">
        <f t="shared" si="27"/>
        <v>13</v>
      </c>
      <c r="AJ41" s="180" t="s">
        <v>93</v>
      </c>
      <c r="AK41" s="181">
        <f t="shared" si="28"/>
        <v>13</v>
      </c>
      <c r="AL41" s="180" t="s">
        <v>93</v>
      </c>
      <c r="AM41" s="181">
        <f t="shared" si="29"/>
        <v>12.5</v>
      </c>
      <c r="AN41" s="180" t="s">
        <v>93</v>
      </c>
      <c r="AO41" s="181">
        <f t="shared" si="30"/>
        <v>11.5</v>
      </c>
      <c r="AP41" s="180" t="s">
        <v>93</v>
      </c>
      <c r="AQ41" s="181">
        <f t="shared" si="31"/>
        <v>13</v>
      </c>
      <c r="AR41" s="180" t="s">
        <v>93</v>
      </c>
      <c r="AS41" s="181">
        <f t="shared" si="32"/>
        <v>11.5</v>
      </c>
      <c r="AT41" s="180" t="s">
        <v>93</v>
      </c>
      <c r="AU41" s="181">
        <f t="shared" si="33"/>
        <v>12</v>
      </c>
      <c r="AV41" s="180" t="s">
        <v>93</v>
      </c>
      <c r="AW41" s="181">
        <f t="shared" si="34"/>
        <v>11.5</v>
      </c>
      <c r="AX41" s="180" t="s">
        <v>93</v>
      </c>
      <c r="AY41" s="181">
        <f t="shared" si="35"/>
        <v>11</v>
      </c>
      <c r="AZ41" s="180" t="s">
        <v>93</v>
      </c>
      <c r="BA41" s="181">
        <f t="shared" si="36"/>
        <v>13</v>
      </c>
      <c r="BB41" s="182" t="s">
        <v>93</v>
      </c>
    </row>
    <row r="42" spans="1:54" ht="15" thickBot="1">
      <c r="AB42" s="227" t="s">
        <v>102</v>
      </c>
      <c r="AC42" s="183">
        <f>SUM(AE42,AG42,AI42,AK42,AM42,AO42,AQ42,AS42,AU42,AW42,AY42,BA42)</f>
        <v>2397</v>
      </c>
      <c r="AD42" s="184" t="s">
        <v>93</v>
      </c>
      <c r="AE42" s="221">
        <f>SUM(AE35:AE41)</f>
        <v>224</v>
      </c>
      <c r="AF42" s="178" t="s">
        <v>93</v>
      </c>
      <c r="AG42" s="177">
        <f t="shared" ref="AG42" si="52">SUM(AG35:AG41)</f>
        <v>172</v>
      </c>
      <c r="AH42" s="178" t="s">
        <v>93</v>
      </c>
      <c r="AI42" s="177">
        <f t="shared" ref="AI42" si="53">SUM(AI35:AI41)</f>
        <v>184</v>
      </c>
      <c r="AJ42" s="178" t="s">
        <v>93</v>
      </c>
      <c r="AK42" s="177">
        <f t="shared" ref="AK42" si="54">SUM(AK35:AK41)</f>
        <v>244.5</v>
      </c>
      <c r="AL42" s="178" t="s">
        <v>93</v>
      </c>
      <c r="AM42" s="177">
        <f t="shared" ref="AM42" si="55">SUM(AM35:AM41)</f>
        <v>285</v>
      </c>
      <c r="AN42" s="178" t="s">
        <v>93</v>
      </c>
      <c r="AO42" s="177">
        <f t="shared" ref="AO42" si="56">SUM(AO35:AO41)</f>
        <v>166</v>
      </c>
      <c r="AP42" s="178" t="s">
        <v>93</v>
      </c>
      <c r="AQ42" s="177">
        <f t="shared" ref="AQ42" si="57">SUM(AQ35:AQ41)</f>
        <v>190.5</v>
      </c>
      <c r="AR42" s="178" t="s">
        <v>93</v>
      </c>
      <c r="AS42" s="177">
        <f t="shared" ref="AS42" si="58">SUM(AS35:AS41)</f>
        <v>166</v>
      </c>
      <c r="AT42" s="178" t="s">
        <v>93</v>
      </c>
      <c r="AU42" s="177">
        <f t="shared" ref="AU42" si="59">SUM(AU35:AU41)</f>
        <v>187.5</v>
      </c>
      <c r="AV42" s="178" t="s">
        <v>93</v>
      </c>
      <c r="AW42" s="177">
        <f t="shared" ref="AW42" si="60">SUM(AW35:AW41)</f>
        <v>196.5</v>
      </c>
      <c r="AX42" s="178" t="s">
        <v>93</v>
      </c>
      <c r="AY42" s="177">
        <f t="shared" ref="AY42" si="61">SUM(AY35:AY41)</f>
        <v>160</v>
      </c>
      <c r="AZ42" s="178" t="s">
        <v>93</v>
      </c>
      <c r="BA42" s="177">
        <f t="shared" ref="BA42" si="62">SUM(BA35:BA41)</f>
        <v>221</v>
      </c>
      <c r="BB42" s="184" t="s">
        <v>93</v>
      </c>
    </row>
    <row r="43" spans="1:54" ht="15" thickBot="1">
      <c r="B43" s="136"/>
      <c r="C43" s="96">
        <v>4</v>
      </c>
      <c r="D43" s="97" t="s">
        <v>86</v>
      </c>
      <c r="E43" s="98">
        <v>5</v>
      </c>
      <c r="F43" s="137" t="s">
        <v>86</v>
      </c>
      <c r="G43" s="96">
        <v>6</v>
      </c>
      <c r="H43" s="97" t="s">
        <v>86</v>
      </c>
      <c r="I43" s="98">
        <v>7</v>
      </c>
      <c r="J43" s="137" t="s">
        <v>86</v>
      </c>
      <c r="K43" s="96">
        <v>8</v>
      </c>
      <c r="L43" s="97" t="s">
        <v>86</v>
      </c>
      <c r="M43" s="98">
        <v>9</v>
      </c>
      <c r="N43" s="137" t="s">
        <v>86</v>
      </c>
      <c r="O43" s="96">
        <v>10</v>
      </c>
      <c r="P43" s="97" t="s">
        <v>86</v>
      </c>
      <c r="Q43" s="98">
        <v>11</v>
      </c>
      <c r="R43" s="97" t="s">
        <v>37</v>
      </c>
      <c r="S43" s="96">
        <v>12</v>
      </c>
      <c r="T43" s="97" t="s">
        <v>37</v>
      </c>
      <c r="U43" s="98">
        <v>1</v>
      </c>
      <c r="V43" s="97" t="s">
        <v>37</v>
      </c>
      <c r="W43" s="96">
        <v>2</v>
      </c>
      <c r="X43" s="97" t="s">
        <v>37</v>
      </c>
      <c r="Y43" s="98">
        <v>3</v>
      </c>
      <c r="Z43" s="97" t="s">
        <v>37</v>
      </c>
      <c r="AB43" s="228" t="s">
        <v>103</v>
      </c>
      <c r="AC43" s="187">
        <f>SUM(AE43,AG43,AI43,AK43,AM43,AO43,AQ43,AS43,AU43,AW43,AY43,BA43)</f>
        <v>1159</v>
      </c>
      <c r="AD43" s="162" t="s">
        <v>93</v>
      </c>
      <c r="AE43" s="188">
        <f>SUM(AE35:AE37)</f>
        <v>103.5</v>
      </c>
      <c r="AF43" s="160" t="s">
        <v>93</v>
      </c>
      <c r="AG43" s="188">
        <f t="shared" ref="AG43" si="63">SUM(AG35:AG37)</f>
        <v>100.5</v>
      </c>
      <c r="AH43" s="189" t="s">
        <v>93</v>
      </c>
      <c r="AI43" s="190">
        <f t="shared" ref="AI43" si="64">SUM(AI35:AI37)</f>
        <v>123</v>
      </c>
      <c r="AJ43" s="160" t="s">
        <v>93</v>
      </c>
      <c r="AK43" s="188">
        <f t="shared" ref="AK43" si="65">SUM(AK35:AK37)</f>
        <v>75.5</v>
      </c>
      <c r="AL43" s="189" t="s">
        <v>93</v>
      </c>
      <c r="AM43" s="190">
        <f t="shared" ref="AM43" si="66">SUM(AM35:AM37)</f>
        <v>32.5</v>
      </c>
      <c r="AN43" s="160" t="s">
        <v>93</v>
      </c>
      <c r="AO43" s="188">
        <f t="shared" ref="AO43" si="67">SUM(AO35:AO37)</f>
        <v>106.5</v>
      </c>
      <c r="AP43" s="189" t="s">
        <v>93</v>
      </c>
      <c r="AQ43" s="190">
        <f t="shared" ref="AQ43" si="68">SUM(AQ35:AQ37)</f>
        <v>117.5</v>
      </c>
      <c r="AR43" s="160" t="s">
        <v>93</v>
      </c>
      <c r="AS43" s="188">
        <f t="shared" ref="AS43" si="69">SUM(AS35:AS37)</f>
        <v>106.5</v>
      </c>
      <c r="AT43" s="189" t="s">
        <v>93</v>
      </c>
      <c r="AU43" s="190">
        <f t="shared" ref="AU43" si="70">SUM(AU35:AU37)</f>
        <v>103.5</v>
      </c>
      <c r="AV43" s="160" t="s">
        <v>93</v>
      </c>
      <c r="AW43" s="188">
        <f t="shared" ref="AW43" si="71">SUM(AW35:AW37)</f>
        <v>89</v>
      </c>
      <c r="AX43" s="189" t="s">
        <v>93</v>
      </c>
      <c r="AY43" s="190">
        <f t="shared" ref="AY43" si="72">SUM(AY35:AY37)</f>
        <v>101</v>
      </c>
      <c r="AZ43" s="160" t="s">
        <v>93</v>
      </c>
      <c r="BA43" s="188">
        <f t="shared" ref="BA43" si="73">SUM(BA35:BA37)</f>
        <v>100</v>
      </c>
      <c r="BB43" s="162" t="s">
        <v>93</v>
      </c>
    </row>
    <row r="44" spans="1:54" ht="15" thickTop="1">
      <c r="B44" s="481" t="s">
        <v>91</v>
      </c>
      <c r="C44" s="151">
        <v>29</v>
      </c>
      <c r="D44" s="138">
        <v>1</v>
      </c>
      <c r="E44" s="151">
        <v>3</v>
      </c>
      <c r="F44" s="138"/>
      <c r="G44" s="151"/>
      <c r="H44" s="138"/>
      <c r="I44" s="151">
        <v>20</v>
      </c>
      <c r="J44" s="138">
        <v>21</v>
      </c>
      <c r="K44" s="151">
        <v>11</v>
      </c>
      <c r="L44" s="138">
        <v>1</v>
      </c>
      <c r="M44" s="151">
        <v>21</v>
      </c>
      <c r="N44" s="138"/>
      <c r="O44" s="151">
        <v>12</v>
      </c>
      <c r="P44" s="138"/>
      <c r="Q44" s="151">
        <v>3</v>
      </c>
      <c r="R44" s="138"/>
      <c r="S44" s="151">
        <v>29</v>
      </c>
      <c r="T44" s="138">
        <v>25</v>
      </c>
      <c r="U44" s="151">
        <v>1</v>
      </c>
      <c r="V44" s="138">
        <v>1</v>
      </c>
      <c r="W44" s="151">
        <v>11</v>
      </c>
      <c r="X44" s="138"/>
      <c r="Y44" s="151">
        <v>22</v>
      </c>
      <c r="Z44" s="138">
        <v>25</v>
      </c>
      <c r="AB44" s="228" t="s">
        <v>104</v>
      </c>
      <c r="AC44" s="223">
        <f>SUM(AE44,AG44,AI44,AK44,AM44,AO44,AQ44,AS44,AU44,AW44,AY44,BA44)</f>
        <v>1092</v>
      </c>
      <c r="AD44" s="166" t="s">
        <v>93</v>
      </c>
      <c r="AE44" s="224">
        <f>SUM(AE38:AE40)</f>
        <v>108</v>
      </c>
      <c r="AF44" s="164" t="s">
        <v>93</v>
      </c>
      <c r="AG44" s="224">
        <f t="shared" ref="AG44" si="74">SUM(AG38:AG40)</f>
        <v>60</v>
      </c>
      <c r="AH44" s="225" t="s">
        <v>93</v>
      </c>
      <c r="AI44" s="226">
        <f t="shared" ref="AI44" si="75">SUM(AI38:AI40)</f>
        <v>48</v>
      </c>
      <c r="AJ44" s="164" t="s">
        <v>93</v>
      </c>
      <c r="AK44" s="224">
        <f t="shared" ref="AK44" si="76">SUM(AK38:AK40)</f>
        <v>156</v>
      </c>
      <c r="AL44" s="225" t="s">
        <v>93</v>
      </c>
      <c r="AM44" s="226">
        <f t="shared" ref="AM44" si="77">SUM(AM38:AM40)</f>
        <v>240</v>
      </c>
      <c r="AN44" s="164" t="s">
        <v>93</v>
      </c>
      <c r="AO44" s="224">
        <f t="shared" ref="AO44" si="78">SUM(AO38:AO40)</f>
        <v>48</v>
      </c>
      <c r="AP44" s="225" t="s">
        <v>93</v>
      </c>
      <c r="AQ44" s="226">
        <f t="shared" ref="AQ44" si="79">SUM(AQ38:AQ40)</f>
        <v>60</v>
      </c>
      <c r="AR44" s="164" t="s">
        <v>93</v>
      </c>
      <c r="AS44" s="224">
        <f t="shared" ref="AS44" si="80">SUM(AS38:AS40)</f>
        <v>48</v>
      </c>
      <c r="AT44" s="225" t="s">
        <v>93</v>
      </c>
      <c r="AU44" s="226">
        <f t="shared" ref="AU44" si="81">SUM(AU38:AU40)</f>
        <v>72</v>
      </c>
      <c r="AV44" s="164" t="s">
        <v>93</v>
      </c>
      <c r="AW44" s="224">
        <f t="shared" ref="AW44" si="82">SUM(AW38:AW40)</f>
        <v>96</v>
      </c>
      <c r="AX44" s="225" t="s">
        <v>93</v>
      </c>
      <c r="AY44" s="226">
        <f t="shared" ref="AY44" si="83">SUM(AY38:AY40)</f>
        <v>48</v>
      </c>
      <c r="AZ44" s="164" t="s">
        <v>93</v>
      </c>
      <c r="BA44" s="224">
        <f t="shared" ref="BA44" si="84">SUM(BA38:BA40)</f>
        <v>108</v>
      </c>
      <c r="BB44" s="166" t="s">
        <v>93</v>
      </c>
    </row>
    <row r="45" spans="1:54" ht="15" thickBot="1">
      <c r="B45" s="482"/>
      <c r="C45" s="152"/>
      <c r="D45" s="139">
        <v>2</v>
      </c>
      <c r="E45" s="152">
        <v>4</v>
      </c>
      <c r="F45" s="139"/>
      <c r="G45" s="152"/>
      <c r="H45" s="139"/>
      <c r="I45" s="152"/>
      <c r="J45" s="139">
        <v>22</v>
      </c>
      <c r="K45" s="152"/>
      <c r="L45" s="139">
        <v>2</v>
      </c>
      <c r="M45" s="152">
        <v>22</v>
      </c>
      <c r="N45" s="139"/>
      <c r="O45" s="152"/>
      <c r="P45" s="139"/>
      <c r="Q45" s="152">
        <v>23</v>
      </c>
      <c r="R45" s="139"/>
      <c r="S45" s="152">
        <v>30</v>
      </c>
      <c r="T45" s="139">
        <v>26</v>
      </c>
      <c r="U45" s="152">
        <v>2</v>
      </c>
      <c r="V45" s="139">
        <v>2</v>
      </c>
      <c r="W45" s="152">
        <v>23</v>
      </c>
      <c r="X45" s="139"/>
      <c r="Y45" s="152"/>
      <c r="Z45" s="139">
        <v>26</v>
      </c>
      <c r="AB45" s="229" t="s">
        <v>105</v>
      </c>
      <c r="AC45" s="185">
        <f>SUM(AE45,AG45,AI45,AK45,AM45,AO45,AQ45,AS45,AU45,AW45,AY45,BA45)</f>
        <v>146</v>
      </c>
      <c r="AD45" s="186" t="s">
        <v>93</v>
      </c>
      <c r="AE45" s="176">
        <f>AE41</f>
        <v>12.5</v>
      </c>
      <c r="AF45" s="175" t="s">
        <v>93</v>
      </c>
      <c r="AG45" s="176">
        <f t="shared" ref="AG45" si="85">AG41</f>
        <v>11.5</v>
      </c>
      <c r="AH45" s="175" t="s">
        <v>93</v>
      </c>
      <c r="AI45" s="176">
        <f t="shared" ref="AI45" si="86">AI41</f>
        <v>13</v>
      </c>
      <c r="AJ45" s="175" t="s">
        <v>93</v>
      </c>
      <c r="AK45" s="176">
        <f t="shared" ref="AK45" si="87">AK41</f>
        <v>13</v>
      </c>
      <c r="AL45" s="175" t="s">
        <v>93</v>
      </c>
      <c r="AM45" s="176">
        <f t="shared" ref="AM45" si="88">AM41</f>
        <v>12.5</v>
      </c>
      <c r="AN45" s="175" t="s">
        <v>93</v>
      </c>
      <c r="AO45" s="176">
        <f t="shared" ref="AO45" si="89">AO41</f>
        <v>11.5</v>
      </c>
      <c r="AP45" s="175" t="s">
        <v>93</v>
      </c>
      <c r="AQ45" s="176">
        <f t="shared" ref="AQ45" si="90">AQ41</f>
        <v>13</v>
      </c>
      <c r="AR45" s="175" t="s">
        <v>93</v>
      </c>
      <c r="AS45" s="176">
        <f t="shared" ref="AS45" si="91">AS41</f>
        <v>11.5</v>
      </c>
      <c r="AT45" s="175" t="s">
        <v>93</v>
      </c>
      <c r="AU45" s="176">
        <f t="shared" ref="AU45" si="92">AU41</f>
        <v>12</v>
      </c>
      <c r="AV45" s="175" t="s">
        <v>93</v>
      </c>
      <c r="AW45" s="176">
        <f t="shared" ref="AW45" si="93">AW41</f>
        <v>11.5</v>
      </c>
      <c r="AX45" s="175" t="s">
        <v>93</v>
      </c>
      <c r="AY45" s="176">
        <f t="shared" ref="AY45" si="94">AY41</f>
        <v>11</v>
      </c>
      <c r="AZ45" s="175" t="s">
        <v>93</v>
      </c>
      <c r="BA45" s="176">
        <f t="shared" ref="BA45" si="95">BA41</f>
        <v>13</v>
      </c>
      <c r="BB45" s="175" t="s">
        <v>93</v>
      </c>
    </row>
    <row r="46" spans="1:54">
      <c r="B46" s="482"/>
      <c r="C46" s="152"/>
      <c r="D46" s="139">
        <v>3</v>
      </c>
      <c r="E46" s="152">
        <v>5</v>
      </c>
      <c r="F46" s="139"/>
      <c r="G46" s="152"/>
      <c r="H46" s="139"/>
      <c r="I46" s="152"/>
      <c r="J46" s="139">
        <v>23</v>
      </c>
      <c r="K46" s="152"/>
      <c r="L46" s="139">
        <v>3</v>
      </c>
      <c r="M46" s="152">
        <v>23</v>
      </c>
      <c r="N46" s="139"/>
      <c r="O46" s="152"/>
      <c r="P46" s="139"/>
      <c r="Q46" s="152"/>
      <c r="R46" s="139"/>
      <c r="S46" s="152">
        <v>31</v>
      </c>
      <c r="T46" s="139">
        <v>27</v>
      </c>
      <c r="U46" s="152">
        <v>3</v>
      </c>
      <c r="V46" s="139">
        <v>3</v>
      </c>
      <c r="W46" s="152"/>
      <c r="X46" s="139"/>
      <c r="Y46" s="152"/>
      <c r="Z46" s="139">
        <v>27</v>
      </c>
    </row>
    <row r="47" spans="1:54">
      <c r="B47" s="482"/>
      <c r="C47" s="152"/>
      <c r="D47" s="139">
        <v>4</v>
      </c>
      <c r="E47" s="152">
        <v>6</v>
      </c>
      <c r="F47" s="139"/>
      <c r="G47" s="152"/>
      <c r="H47" s="139"/>
      <c r="I47" s="152"/>
      <c r="J47" s="139">
        <v>24</v>
      </c>
      <c r="K47" s="152"/>
      <c r="L47" s="139">
        <v>4</v>
      </c>
      <c r="M47" s="152"/>
      <c r="N47" s="139"/>
      <c r="O47" s="152"/>
      <c r="P47" s="139"/>
      <c r="Q47" s="152"/>
      <c r="R47" s="139"/>
      <c r="S47" s="152"/>
      <c r="T47" s="139">
        <v>28</v>
      </c>
      <c r="U47" s="152">
        <v>11</v>
      </c>
      <c r="V47" s="139">
        <v>4</v>
      </c>
      <c r="W47" s="152"/>
      <c r="X47" s="139"/>
      <c r="Y47" s="152"/>
      <c r="Z47" s="139">
        <v>28</v>
      </c>
    </row>
    <row r="48" spans="1:54">
      <c r="B48" s="482"/>
      <c r="C48" s="152"/>
      <c r="D48" s="139">
        <v>5</v>
      </c>
      <c r="E48" s="152"/>
      <c r="F48" s="139"/>
      <c r="G48" s="152"/>
      <c r="H48" s="139"/>
      <c r="I48" s="152"/>
      <c r="J48" s="139">
        <v>25</v>
      </c>
      <c r="K48" s="152"/>
      <c r="L48" s="139">
        <v>5</v>
      </c>
      <c r="M48" s="152"/>
      <c r="N48" s="139"/>
      <c r="O48" s="152"/>
      <c r="P48" s="139"/>
      <c r="Q48" s="152"/>
      <c r="R48" s="139"/>
      <c r="S48" s="152"/>
      <c r="T48" s="139">
        <v>29</v>
      </c>
      <c r="U48" s="152"/>
      <c r="V48" s="139">
        <v>5</v>
      </c>
      <c r="W48" s="152"/>
      <c r="X48" s="139"/>
      <c r="Y48" s="152"/>
      <c r="Z48" s="139">
        <v>29</v>
      </c>
    </row>
    <row r="49" spans="2:26">
      <c r="B49" s="482"/>
      <c r="C49" s="152"/>
      <c r="D49" s="139">
        <v>6</v>
      </c>
      <c r="E49" s="152"/>
      <c r="F49" s="139"/>
      <c r="G49" s="152"/>
      <c r="H49" s="139"/>
      <c r="I49" s="152"/>
      <c r="J49" s="139">
        <v>26</v>
      </c>
      <c r="K49" s="152"/>
      <c r="L49" s="139">
        <v>6</v>
      </c>
      <c r="M49" s="152"/>
      <c r="N49" s="139"/>
      <c r="O49" s="152"/>
      <c r="P49" s="139"/>
      <c r="Q49" s="152"/>
      <c r="R49" s="139"/>
      <c r="S49" s="152"/>
      <c r="T49" s="139">
        <v>30</v>
      </c>
      <c r="U49" s="152"/>
      <c r="V49" s="139">
        <v>6</v>
      </c>
      <c r="W49" s="152"/>
      <c r="X49" s="139"/>
      <c r="Y49" s="152"/>
      <c r="Z49" s="139">
        <v>30</v>
      </c>
    </row>
    <row r="50" spans="2:26">
      <c r="B50" s="482"/>
      <c r="C50" s="152"/>
      <c r="D50" s="139">
        <v>7</v>
      </c>
      <c r="E50" s="152"/>
      <c r="F50" s="139"/>
      <c r="G50" s="152"/>
      <c r="H50" s="139"/>
      <c r="I50" s="152"/>
      <c r="J50" s="139">
        <v>27</v>
      </c>
      <c r="K50" s="152"/>
      <c r="L50" s="139">
        <v>7</v>
      </c>
      <c r="M50" s="152"/>
      <c r="N50" s="139"/>
      <c r="O50" s="152"/>
      <c r="P50" s="139"/>
      <c r="Q50" s="152"/>
      <c r="R50" s="139"/>
      <c r="S50" s="152"/>
      <c r="T50" s="139">
        <v>31</v>
      </c>
      <c r="U50" s="152"/>
      <c r="V50" s="139">
        <v>7</v>
      </c>
      <c r="W50" s="152"/>
      <c r="X50" s="139"/>
      <c r="Y50" s="152"/>
      <c r="Z50" s="139">
        <v>31</v>
      </c>
    </row>
    <row r="51" spans="2:26">
      <c r="B51" s="482"/>
      <c r="C51" s="152"/>
      <c r="D51" s="139"/>
      <c r="E51" s="152"/>
      <c r="F51" s="139"/>
      <c r="G51" s="152"/>
      <c r="H51" s="139"/>
      <c r="I51" s="152"/>
      <c r="J51" s="139">
        <v>28</v>
      </c>
      <c r="K51" s="152"/>
      <c r="L51" s="139">
        <v>8</v>
      </c>
      <c r="M51" s="152"/>
      <c r="N51" s="139"/>
      <c r="O51" s="152"/>
      <c r="P51" s="139"/>
      <c r="Q51" s="152"/>
      <c r="R51" s="139"/>
      <c r="S51" s="152"/>
      <c r="T51" s="139"/>
      <c r="U51" s="152"/>
      <c r="V51" s="139"/>
      <c r="W51" s="152"/>
      <c r="X51" s="139"/>
      <c r="Y51" s="152"/>
      <c r="Z51" s="139"/>
    </row>
    <row r="52" spans="2:26">
      <c r="B52" s="482"/>
      <c r="C52" s="152"/>
      <c r="D52" s="139"/>
      <c r="E52" s="152"/>
      <c r="F52" s="139"/>
      <c r="G52" s="152"/>
      <c r="H52" s="139"/>
      <c r="I52" s="152"/>
      <c r="J52" s="139">
        <v>29</v>
      </c>
      <c r="K52" s="152"/>
      <c r="L52" s="139">
        <v>9</v>
      </c>
      <c r="M52" s="152"/>
      <c r="N52" s="139"/>
      <c r="O52" s="152"/>
      <c r="P52" s="139"/>
      <c r="Q52" s="152"/>
      <c r="R52" s="139"/>
      <c r="S52" s="152"/>
      <c r="T52" s="139"/>
      <c r="U52" s="152"/>
      <c r="V52" s="139"/>
      <c r="W52" s="152"/>
      <c r="X52" s="139"/>
      <c r="Y52" s="152"/>
      <c r="Z52" s="139"/>
    </row>
    <row r="53" spans="2:26">
      <c r="B53" s="482"/>
      <c r="C53" s="152"/>
      <c r="D53" s="139"/>
      <c r="E53" s="152"/>
      <c r="F53" s="139"/>
      <c r="G53" s="152"/>
      <c r="H53" s="139"/>
      <c r="I53" s="152"/>
      <c r="J53" s="139">
        <v>30</v>
      </c>
      <c r="K53" s="152"/>
      <c r="L53" s="139">
        <v>10</v>
      </c>
      <c r="M53" s="152"/>
      <c r="N53" s="139"/>
      <c r="O53" s="152"/>
      <c r="P53" s="139"/>
      <c r="Q53" s="152"/>
      <c r="R53" s="139"/>
      <c r="S53" s="152"/>
      <c r="T53" s="139"/>
      <c r="U53" s="152"/>
      <c r="V53" s="139"/>
      <c r="W53" s="152"/>
      <c r="X53" s="139"/>
      <c r="Y53" s="152"/>
      <c r="Z53" s="139"/>
    </row>
    <row r="54" spans="2:26">
      <c r="B54" s="482"/>
      <c r="C54" s="152"/>
      <c r="D54" s="139"/>
      <c r="E54" s="152"/>
      <c r="F54" s="139"/>
      <c r="G54" s="152"/>
      <c r="H54" s="139"/>
      <c r="I54" s="152"/>
      <c r="J54" s="139">
        <v>31</v>
      </c>
      <c r="K54" s="152"/>
      <c r="L54" s="139">
        <v>11</v>
      </c>
      <c r="M54" s="152"/>
      <c r="N54" s="139"/>
      <c r="O54" s="152"/>
      <c r="P54" s="139"/>
      <c r="Q54" s="152"/>
      <c r="R54" s="139"/>
      <c r="S54" s="152"/>
      <c r="T54" s="139"/>
      <c r="U54" s="152"/>
      <c r="V54" s="139"/>
      <c r="W54" s="152"/>
      <c r="X54" s="139"/>
      <c r="Y54" s="152"/>
      <c r="Z54" s="139"/>
    </row>
    <row r="55" spans="2:26">
      <c r="B55" s="482"/>
      <c r="C55" s="152"/>
      <c r="D55" s="139"/>
      <c r="E55" s="152"/>
      <c r="F55" s="139"/>
      <c r="G55" s="152"/>
      <c r="H55" s="139"/>
      <c r="I55" s="152"/>
      <c r="J55" s="139"/>
      <c r="K55" s="152"/>
      <c r="L55" s="139">
        <v>12</v>
      </c>
      <c r="M55" s="152"/>
      <c r="N55" s="139"/>
      <c r="O55" s="152"/>
      <c r="P55" s="139"/>
      <c r="Q55" s="152"/>
      <c r="R55" s="139"/>
      <c r="S55" s="152"/>
      <c r="T55" s="139"/>
      <c r="U55" s="152"/>
      <c r="V55" s="139"/>
      <c r="W55" s="152"/>
      <c r="X55" s="139"/>
      <c r="Y55" s="152"/>
      <c r="Z55" s="139"/>
    </row>
    <row r="56" spans="2:26">
      <c r="B56" s="482"/>
      <c r="C56" s="153">
        <v>8</v>
      </c>
      <c r="D56" s="139"/>
      <c r="E56" s="153"/>
      <c r="F56" s="139"/>
      <c r="G56" s="153"/>
      <c r="H56" s="139"/>
      <c r="I56" s="153">
        <v>17</v>
      </c>
      <c r="J56" s="139"/>
      <c r="K56" s="153">
        <v>25</v>
      </c>
      <c r="L56" s="139">
        <v>13</v>
      </c>
      <c r="M56" s="153"/>
      <c r="N56" s="139"/>
      <c r="O56" s="153"/>
      <c r="P56" s="139"/>
      <c r="Q56" s="153"/>
      <c r="R56" s="139"/>
      <c r="S56" s="153">
        <v>24</v>
      </c>
      <c r="T56" s="139"/>
      <c r="U56" s="153">
        <v>8</v>
      </c>
      <c r="V56" s="139"/>
      <c r="W56" s="153"/>
      <c r="X56" s="139"/>
      <c r="Y56" s="153">
        <v>19</v>
      </c>
      <c r="Z56" s="139"/>
    </row>
    <row r="57" spans="2:26">
      <c r="B57" s="482"/>
      <c r="C57" s="153">
        <v>9</v>
      </c>
      <c r="D57" s="139"/>
      <c r="E57" s="153"/>
      <c r="F57" s="139"/>
      <c r="G57" s="153"/>
      <c r="H57" s="139"/>
      <c r="I57" s="153"/>
      <c r="J57" s="139"/>
      <c r="K57" s="153">
        <v>26</v>
      </c>
      <c r="L57" s="139">
        <v>14</v>
      </c>
      <c r="M57" s="153"/>
      <c r="N57" s="139"/>
      <c r="O57" s="153"/>
      <c r="P57" s="139"/>
      <c r="Q57" s="153"/>
      <c r="R57" s="139"/>
      <c r="S57" s="153"/>
      <c r="T57" s="139"/>
      <c r="U57" s="153">
        <v>12</v>
      </c>
      <c r="V57" s="139"/>
      <c r="W57" s="153"/>
      <c r="X57" s="139"/>
      <c r="Y57" s="153">
        <v>24</v>
      </c>
      <c r="Z57" s="139"/>
    </row>
    <row r="58" spans="2:26">
      <c r="B58" s="482"/>
      <c r="C58" s="153">
        <v>10</v>
      </c>
      <c r="D58" s="139"/>
      <c r="E58" s="153"/>
      <c r="F58" s="139"/>
      <c r="G58" s="153"/>
      <c r="H58" s="139"/>
      <c r="I58" s="153"/>
      <c r="J58" s="139"/>
      <c r="K58" s="153"/>
      <c r="L58" s="139">
        <v>15</v>
      </c>
      <c r="M58" s="153"/>
      <c r="N58" s="139"/>
      <c r="O58" s="153"/>
      <c r="P58" s="139"/>
      <c r="Q58" s="153"/>
      <c r="R58" s="139"/>
      <c r="S58" s="153"/>
      <c r="T58" s="139"/>
      <c r="U58" s="153"/>
      <c r="V58" s="139"/>
      <c r="W58" s="153"/>
      <c r="X58" s="139"/>
      <c r="Y58" s="153"/>
      <c r="Z58" s="139"/>
    </row>
    <row r="59" spans="2:26">
      <c r="B59" s="482"/>
      <c r="C59" s="153">
        <v>11</v>
      </c>
      <c r="D59" s="139"/>
      <c r="E59" s="153"/>
      <c r="F59" s="139"/>
      <c r="G59" s="153"/>
      <c r="H59" s="139"/>
      <c r="I59" s="153"/>
      <c r="J59" s="139"/>
      <c r="K59" s="153"/>
      <c r="L59" s="139">
        <v>16</v>
      </c>
      <c r="M59" s="153"/>
      <c r="N59" s="139"/>
      <c r="O59" s="153"/>
      <c r="P59" s="139"/>
      <c r="Q59" s="153"/>
      <c r="R59" s="139"/>
      <c r="S59" s="153"/>
      <c r="T59" s="139"/>
      <c r="U59" s="153"/>
      <c r="V59" s="139"/>
      <c r="W59" s="153"/>
      <c r="X59" s="139"/>
      <c r="Y59" s="153"/>
      <c r="Z59" s="139"/>
    </row>
    <row r="60" spans="2:26">
      <c r="B60" s="482"/>
      <c r="C60" s="153">
        <v>12</v>
      </c>
      <c r="D60" s="139"/>
      <c r="E60" s="153"/>
      <c r="F60" s="139"/>
      <c r="G60" s="153"/>
      <c r="H60" s="139"/>
      <c r="I60" s="153"/>
      <c r="J60" s="139"/>
      <c r="K60" s="153"/>
      <c r="L60" s="139">
        <v>17</v>
      </c>
      <c r="M60" s="153"/>
      <c r="N60" s="139"/>
      <c r="O60" s="153"/>
      <c r="P60" s="139"/>
      <c r="Q60" s="153"/>
      <c r="R60" s="139"/>
      <c r="S60" s="153"/>
      <c r="T60" s="139"/>
      <c r="U60" s="153"/>
      <c r="V60" s="139"/>
      <c r="W60" s="153"/>
      <c r="X60" s="139"/>
      <c r="Y60" s="153"/>
      <c r="Z60" s="139"/>
    </row>
    <row r="61" spans="2:26">
      <c r="B61" s="482"/>
      <c r="C61" s="153">
        <v>13</v>
      </c>
      <c r="D61" s="139"/>
      <c r="E61" s="153"/>
      <c r="F61" s="139"/>
      <c r="G61" s="153"/>
      <c r="H61" s="139"/>
      <c r="I61" s="153"/>
      <c r="J61" s="139"/>
      <c r="K61" s="153"/>
      <c r="L61" s="139">
        <v>18</v>
      </c>
      <c r="M61" s="153"/>
      <c r="N61" s="139"/>
      <c r="O61" s="153"/>
      <c r="P61" s="139"/>
      <c r="Q61" s="153"/>
      <c r="R61" s="139"/>
      <c r="S61" s="153"/>
      <c r="T61" s="139"/>
      <c r="U61" s="153"/>
      <c r="V61" s="139"/>
      <c r="W61" s="153"/>
      <c r="X61" s="139"/>
      <c r="Y61" s="153"/>
      <c r="Z61" s="139"/>
    </row>
    <row r="62" spans="2:26">
      <c r="B62" s="482"/>
      <c r="C62" s="153">
        <v>14</v>
      </c>
      <c r="D62" s="139"/>
      <c r="E62" s="153"/>
      <c r="F62" s="139"/>
      <c r="G62" s="153"/>
      <c r="H62" s="139"/>
      <c r="I62" s="153"/>
      <c r="J62" s="139"/>
      <c r="K62" s="153"/>
      <c r="L62" s="139">
        <v>19</v>
      </c>
      <c r="M62" s="153"/>
      <c r="N62" s="139"/>
      <c r="O62" s="153"/>
      <c r="P62" s="139"/>
      <c r="Q62" s="153"/>
      <c r="R62" s="139"/>
      <c r="S62" s="153"/>
      <c r="T62" s="139"/>
      <c r="U62" s="153"/>
      <c r="V62" s="139"/>
      <c r="W62" s="153"/>
      <c r="X62" s="139"/>
      <c r="Y62" s="153"/>
      <c r="Z62" s="139"/>
    </row>
    <row r="63" spans="2:26">
      <c r="B63" s="482"/>
      <c r="C63" s="153">
        <v>15</v>
      </c>
      <c r="D63" s="139"/>
      <c r="E63" s="153"/>
      <c r="F63" s="139"/>
      <c r="G63" s="153"/>
      <c r="H63" s="139"/>
      <c r="I63" s="153"/>
      <c r="J63" s="139"/>
      <c r="K63" s="153"/>
      <c r="L63" s="139">
        <v>20</v>
      </c>
      <c r="M63" s="153"/>
      <c r="N63" s="139"/>
      <c r="O63" s="153"/>
      <c r="P63" s="139"/>
      <c r="Q63" s="153"/>
      <c r="R63" s="139"/>
      <c r="S63" s="153"/>
      <c r="T63" s="139"/>
      <c r="U63" s="153"/>
      <c r="V63" s="139"/>
      <c r="W63" s="153"/>
      <c r="X63" s="139"/>
      <c r="Y63" s="153"/>
      <c r="Z63" s="139"/>
    </row>
    <row r="64" spans="2:26">
      <c r="B64" s="482"/>
      <c r="C64" s="153"/>
      <c r="D64" s="139"/>
      <c r="E64" s="153"/>
      <c r="F64" s="139"/>
      <c r="G64" s="153"/>
      <c r="H64" s="139"/>
      <c r="I64" s="153"/>
      <c r="J64" s="139"/>
      <c r="K64" s="153"/>
      <c r="L64" s="139">
        <v>21</v>
      </c>
      <c r="M64" s="153"/>
      <c r="N64" s="139"/>
      <c r="O64" s="153"/>
      <c r="P64" s="139"/>
      <c r="Q64" s="153"/>
      <c r="R64" s="139"/>
      <c r="S64" s="153"/>
      <c r="T64" s="139"/>
      <c r="U64" s="153"/>
      <c r="V64" s="139"/>
      <c r="W64" s="153"/>
      <c r="X64" s="139"/>
      <c r="Y64" s="153"/>
      <c r="Z64" s="139"/>
    </row>
    <row r="65" spans="2:26">
      <c r="B65" s="482"/>
      <c r="C65" s="153"/>
      <c r="D65" s="139"/>
      <c r="E65" s="153"/>
      <c r="F65" s="139"/>
      <c r="G65" s="153"/>
      <c r="H65" s="139"/>
      <c r="I65" s="153"/>
      <c r="J65" s="139"/>
      <c r="K65" s="153"/>
      <c r="L65" s="139">
        <v>22</v>
      </c>
      <c r="M65" s="153"/>
      <c r="N65" s="139"/>
      <c r="O65" s="153"/>
      <c r="P65" s="139"/>
      <c r="Q65" s="153"/>
      <c r="R65" s="139"/>
      <c r="S65" s="153"/>
      <c r="T65" s="139"/>
      <c r="U65" s="153"/>
      <c r="V65" s="139"/>
      <c r="W65" s="153"/>
      <c r="X65" s="139"/>
      <c r="Y65" s="153"/>
      <c r="Z65" s="139"/>
    </row>
    <row r="66" spans="2:26">
      <c r="B66" s="482"/>
      <c r="C66" s="153"/>
      <c r="D66" s="139"/>
      <c r="E66" s="153"/>
      <c r="F66" s="139"/>
      <c r="G66" s="153"/>
      <c r="H66" s="139"/>
      <c r="I66" s="153"/>
      <c r="J66" s="139"/>
      <c r="K66" s="153"/>
      <c r="L66" s="139">
        <v>23</v>
      </c>
      <c r="M66" s="153"/>
      <c r="N66" s="139"/>
      <c r="O66" s="153"/>
      <c r="P66" s="139"/>
      <c r="Q66" s="153"/>
      <c r="R66" s="139"/>
      <c r="S66" s="153"/>
      <c r="T66" s="139"/>
      <c r="U66" s="153"/>
      <c r="V66" s="139"/>
      <c r="W66" s="153"/>
      <c r="X66" s="139"/>
      <c r="Y66" s="153"/>
      <c r="Z66" s="139"/>
    </row>
    <row r="67" spans="2:26" ht="15" thickBot="1">
      <c r="B67" s="483"/>
      <c r="C67" s="154"/>
      <c r="D67" s="140"/>
      <c r="E67" s="154"/>
      <c r="F67" s="140"/>
      <c r="G67" s="154"/>
      <c r="H67" s="140"/>
      <c r="I67" s="154"/>
      <c r="J67" s="140"/>
      <c r="K67" s="154"/>
      <c r="L67" s="140">
        <v>24</v>
      </c>
      <c r="M67" s="154"/>
      <c r="N67" s="140"/>
      <c r="O67" s="154"/>
      <c r="P67" s="140"/>
      <c r="Q67" s="154"/>
      <c r="R67" s="140"/>
      <c r="S67" s="154"/>
      <c r="T67" s="140"/>
      <c r="U67" s="154"/>
      <c r="V67" s="140"/>
      <c r="W67" s="154"/>
      <c r="X67" s="140"/>
      <c r="Y67" s="154"/>
      <c r="Z67" s="140"/>
    </row>
  </sheetData>
  <sheetProtection sheet="1" selectLockedCells="1"/>
  <mergeCells count="14">
    <mergeCell ref="B44:B67"/>
    <mergeCell ref="AE1:AF1"/>
    <mergeCell ref="AD1:AD4"/>
    <mergeCell ref="AC1:AC4"/>
    <mergeCell ref="A34:B34"/>
    <mergeCell ref="A35:B35"/>
    <mergeCell ref="A36:B36"/>
    <mergeCell ref="A37:B37"/>
    <mergeCell ref="A38:B38"/>
    <mergeCell ref="A39:B39"/>
    <mergeCell ref="AF2:AF4"/>
    <mergeCell ref="AE2:AE4"/>
    <mergeCell ref="A40:B40"/>
    <mergeCell ref="A41:B41"/>
  </mergeCells>
  <phoneticPr fontId="1"/>
  <conditionalFormatting sqref="C2:Z32">
    <cfRule type="expression" dxfId="7" priority="5">
      <formula>(C2="")</formula>
    </cfRule>
    <cfRule type="expression" dxfId="6" priority="7">
      <formula>(C2="日")</formula>
    </cfRule>
    <cfRule type="expression" dxfId="5" priority="8">
      <formula>(C2="土")</formula>
    </cfRule>
  </conditionalFormatting>
  <conditionalFormatting sqref="D2:Z32">
    <cfRule type="expression" dxfId="4" priority="1">
      <formula>(D2="▲")</formula>
    </cfRule>
    <cfRule type="expression" dxfId="3" priority="2">
      <formula>(D2="△")</formula>
    </cfRule>
    <cfRule type="expression" dxfId="2" priority="3">
      <formula>(D2="●")</formula>
    </cfRule>
    <cfRule type="expression" dxfId="1" priority="4">
      <formula>(D2="◎")</formula>
    </cfRule>
    <cfRule type="expression" dxfId="0" priority="6">
      <formula>D2=("◇")</formula>
    </cfRule>
  </conditionalFormatting>
  <printOptions horizontalCentered="1"/>
  <pageMargins left="0.19685039370078741" right="0.19685039370078741" top="0.31496062992125984" bottom="3.937007874015748E-2" header="0.31496062992125984" footer="0.31496062992125984"/>
  <pageSetup paperSize="9" scale="92"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10</vt:i4>
      </vt:variant>
    </vt:vector>
  </HeadingPairs>
  <TitlesOfParts>
    <vt:vector size="14" baseType="lpstr">
      <vt:lpstr>留意事項</vt:lpstr>
      <vt:lpstr>入札額積算資料・見積書</vt:lpstr>
      <vt:lpstr>バックデータ</vt:lpstr>
      <vt:lpstr>支出負担行為整理簿（乙）別紙</vt:lpstr>
      <vt:lpstr>A</vt:lpstr>
      <vt:lpstr>B</vt:lpstr>
      <vt:lpstr>'支出負担行為整理簿（乙）別紙'!Print_Area</vt:lpstr>
      <vt:lpstr>入札額積算資料・見積書!Print_Area</vt:lpstr>
      <vt:lpstr>すくすく教室登録児童数等</vt:lpstr>
      <vt:lpstr>業務名</vt:lpstr>
      <vt:lpstr>堺区B</vt:lpstr>
      <vt:lpstr>西区B</vt:lpstr>
      <vt:lpstr>中区A</vt:lpstr>
      <vt:lpstr>美原区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2025-10-23T11:37:20Z</dcterms:modified>
</cp:coreProperties>
</file>